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9E61438-F449-47A0-8353-E224B1B74C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G11" i="1"/>
  <c r="F11" i="1"/>
  <c r="C7" i="1"/>
  <c r="E23" i="1" s="1"/>
  <c r="F23" i="1" s="1"/>
  <c r="C8" i="1"/>
  <c r="E14" i="1"/>
  <c r="C17" i="1"/>
  <c r="Q22" i="1"/>
  <c r="R22" i="1"/>
  <c r="Q21" i="1"/>
  <c r="E21" i="1" l="1"/>
  <c r="F21" i="1" s="1"/>
  <c r="G23" i="1"/>
  <c r="I23" i="1" s="1"/>
  <c r="G21" i="1"/>
  <c r="E22" i="1"/>
  <c r="F22" i="1" s="1"/>
  <c r="G22" i="1" s="1"/>
  <c r="I22" i="1" s="1"/>
  <c r="E15" i="1"/>
  <c r="C12" i="1"/>
  <c r="C11" i="1"/>
  <c r="C16" i="1" l="1"/>
  <c r="D18" i="1" s="1"/>
  <c r="H21" i="1"/>
  <c r="O21" i="1"/>
  <c r="O22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<sst xmlns="http://schemas.openxmlformats.org/spreadsheetml/2006/main" count="48" uniqueCount="46">
  <si>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</si>
  <si>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</si>
  <si>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</si>
  <si>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</si>
  <si>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</si>
  <si>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</si>
  <si>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</si>
  <si>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</si>
  <si>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</si>
  <si>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</si>
  <si>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</si>
  <si>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</si>
  <si>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</si>
  <si>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</si>
  <si>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</si>
  <si>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</si>
  <si>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</si>
  <si>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</si>
  <si>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</si>
  <si>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</si>
  <si>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</si>
  <si>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</si>
  <si>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</si>
  <si>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</si>
  <si>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</si>
  <si>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</si>
  <si>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</si>
  <si>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</si>
  <si>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</si>
  <si>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</si>
  <si>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</si>
  <si>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</si>
  <si>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</si>
  <si>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</si>
  <si>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</si>
  <si>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</si>
  <si>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</si>
  <si>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</si>
  <si>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V2642 Oph / GSC 1000-1400</t>
  </si>
  <si>
    <t>I</t>
  </si>
  <si>
    <t>IBVS 5713</t>
  </si>
  <si>
    <t>GCVS</t>
  </si>
  <si>
    <t>Add cycle</t>
  </si>
  <si>
    <t>Old Cycle</t>
  </si>
  <si>
    <t>JAVSO 49, 108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</si>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</sst>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V2642 Oph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223</c:v>
                </c:pt>
                <c:pt idx="2">
                  <c:v>1713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CA-43F4-8DEF-88CFDD4EDD1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223</c:v>
                </c:pt>
                <c:pt idx="2">
                  <c:v>1713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-1.7719999996188562E-2</c:v>
                </c:pt>
                <c:pt idx="2">
                  <c:v>-6.6520000000309665E-2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CA-43F4-8DEF-88CFDD4EDD1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223</c:v>
                </c:pt>
                <c:pt idx="2">
                  <c:v>1713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CA-43F4-8DEF-88CFDD4EDD1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223</c:v>
                </c:pt>
                <c:pt idx="2">
                  <c:v>1713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CA-43F4-8DEF-88CFDD4EDD1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223</c:v>
                </c:pt>
                <c:pt idx="2">
                  <c:v>1713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CA-43F4-8DEF-88CFDD4EDD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223</c:v>
                </c:pt>
                <c:pt idx="2">
                  <c:v>1713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CA-43F4-8DEF-88CFDD4EDD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223</c:v>
                </c:pt>
                <c:pt idx="2">
                  <c:v>1713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CA-43F4-8DEF-88CFDD4EDD1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223</c:v>
                </c:pt>
                <c:pt idx="2">
                  <c:v>1713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-4.4436041807342681E-3</c:v>
                </c:pt>
                <c:pt idx="1">
                  <c:v>-1.2611346330686685E-2</c:v>
                </c:pt>
                <c:pt idx="2">
                  <c:v>-6.7185049485077267E-2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CA-43F4-8DEF-88CFDD4ED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079832"/>
        <c:axId val="1"/>
      </c:scatterChart>
      <c:valAx>
        <c:axId val="433079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079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601503759398494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72B335A-1E07-84C3-03E6-903C8587F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s="3" customFormat="1" ht="12.95" customHeight="1" x14ac:dyDescent="0.2">
      <c r="A2" s="3" t="s">
        <v>25</v>
      </c>
      <c r="C2" s="4"/>
      <c r="D2" s="4"/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>
        <v>53122.834999999999</v>
      </c>
      <c r="D4" s="7">
        <v>3.4646400000000002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">
        <f>+C4</f>
        <v>53122.834999999999</v>
      </c>
    </row>
    <row r="8" spans="1:7" s="3" customFormat="1" ht="12.95" customHeight="1" x14ac:dyDescent="0.2">
      <c r="A8" s="3" t="s">
        <v>3</v>
      </c>
      <c r="C8" s="3">
        <f>+D4</f>
        <v>3.4646400000000002</v>
      </c>
    </row>
    <row r="9" spans="1:7" s="3" customFormat="1" ht="12.95" customHeight="1" x14ac:dyDescent="0.2">
      <c r="A9" s="8" t="s">
        <v>31</v>
      </c>
      <c r="C9" s="9">
        <v>-9.5</v>
      </c>
      <c r="D9" s="3" t="s">
        <v>32</v>
      </c>
    </row>
    <row r="10" spans="1:7" s="3" customFormat="1" ht="12.95" customHeight="1" thickBot="1" x14ac:dyDescent="0.25">
      <c r="C10" s="10" t="s">
        <v>21</v>
      </c>
      <c r="D10" s="10" t="s">
        <v>22</v>
      </c>
    </row>
    <row r="11" spans="1:7" s="3" customFormat="1" ht="12.95" customHeight="1" x14ac:dyDescent="0.2">
      <c r="A11" s="3" t="s">
        <v>16</v>
      </c>
      <c r="C11" s="11">
        <f ca="1">INTERCEPT(INDIRECT($G$11):G991,INDIRECT($F$11):F991)</f>
        <v>-4.4436041807342681E-3</v>
      </c>
      <c r="D11" s="4"/>
      <c r="F11" s="12" t="str">
        <f>"F"&amp;E19</f>
        <v>F21</v>
      </c>
      <c r="G11" s="11" t="str">
        <f>"G"&amp;E19</f>
        <v>G21</v>
      </c>
    </row>
    <row r="12" spans="1:7" s="3" customFormat="1" ht="12.95" customHeight="1" x14ac:dyDescent="0.2">
      <c r="A12" s="3" t="s">
        <v>17</v>
      </c>
      <c r="C12" s="11">
        <f ca="1">SLOPE(INDIRECT($G$11):G991,INDIRECT($F$11):F991)</f>
        <v>-3.6626646412342678E-5</v>
      </c>
      <c r="D12" s="4"/>
    </row>
    <row r="13" spans="1:7" s="3" customFormat="1" ht="12.95" customHeight="1" x14ac:dyDescent="0.2">
      <c r="A13" s="3" t="s">
        <v>20</v>
      </c>
      <c r="C13" s="4" t="s">
        <v>14</v>
      </c>
      <c r="D13" s="13" t="s">
        <v>42</v>
      </c>
      <c r="E13" s="9">
        <v>1</v>
      </c>
    </row>
    <row r="14" spans="1:7" s="3" customFormat="1" ht="12.95" customHeight="1" x14ac:dyDescent="0.2">
      <c r="D14" s="13" t="s">
        <v>33</v>
      </c>
      <c r="E14" s="14">
        <f ca="1">NOW()+15018.5+$C$9/24</f>
        <v>60368.74517962963</v>
      </c>
    </row>
    <row r="15" spans="1:7" s="3" customFormat="1" ht="12.95" customHeight="1" x14ac:dyDescent="0.2">
      <c r="A15" s="15" t="s">
        <v>18</v>
      </c>
      <c r="C15" s="16">
        <f ca="1">(C7+C11)+(C8+C12)*INT(MAX(F21:F3532))</f>
        <v>59057.696134950515</v>
      </c>
      <c r="D15" s="13" t="s">
        <v>43</v>
      </c>
      <c r="E15" s="14">
        <f ca="1">ROUND(2*(E14-$C$7)/$C$8,0)/2+E13</f>
        <v>2092.5</v>
      </c>
    </row>
    <row r="16" spans="1:7" s="3" customFormat="1" ht="12.95" customHeight="1" x14ac:dyDescent="0.2">
      <c r="A16" s="5" t="s">
        <v>4</v>
      </c>
      <c r="C16" s="17">
        <f ca="1">+C8+C12</f>
        <v>3.4646033733535879</v>
      </c>
      <c r="D16" s="13" t="s">
        <v>34</v>
      </c>
      <c r="E16" s="11">
        <f ca="1">ROUND(2*(E14-$C$15)/$C$16,0)/2+E13</f>
        <v>379.5</v>
      </c>
    </row>
    <row r="17" spans="1:18" s="3" customFormat="1" ht="12.95" customHeight="1" thickBot="1" x14ac:dyDescent="0.25">
      <c r="A17" s="13" t="s">
        <v>30</v>
      </c>
      <c r="C17" s="3">
        <f>COUNT(C21:C2190)</f>
        <v>3</v>
      </c>
      <c r="D17" s="13" t="s">
        <v>35</v>
      </c>
      <c r="E17" s="18">
        <f ca="1">+$C$15+$C$16*E16-15018.5-$C$9/24</f>
        <v>45354.408948471537</v>
      </c>
    </row>
    <row r="18" spans="1:18" s="3" customFormat="1" ht="12.95" customHeight="1" thickTop="1" thickBot="1" x14ac:dyDescent="0.25">
      <c r="A18" s="5" t="s">
        <v>5</v>
      </c>
      <c r="C18" s="19">
        <f ca="1">+C15</f>
        <v>59057.696134950515</v>
      </c>
      <c r="D18" s="20">
        <f ca="1">+C16</f>
        <v>3.4646033733535879</v>
      </c>
      <c r="E18" s="21" t="s">
        <v>36</v>
      </c>
    </row>
    <row r="19" spans="1:18" s="3" customFormat="1" ht="12.95" customHeight="1" thickTop="1" x14ac:dyDescent="0.2">
      <c r="A19" s="22" t="s">
        <v>37</v>
      </c>
      <c r="E19" s="23">
        <v>21</v>
      </c>
    </row>
    <row r="20" spans="1:18" s="3" customFormat="1" ht="12.95" customHeight="1" thickBot="1" x14ac:dyDescent="0.25">
      <c r="A20" s="10" t="s">
        <v>6</v>
      </c>
      <c r="B20" s="10" t="s">
        <v>7</v>
      </c>
      <c r="C20" s="10" t="s">
        <v>8</v>
      </c>
      <c r="D20" s="10" t="s">
        <v>13</v>
      </c>
      <c r="E20" s="10" t="s">
        <v>9</v>
      </c>
      <c r="F20" s="10" t="s">
        <v>10</v>
      </c>
      <c r="G20" s="10" t="s">
        <v>11</v>
      </c>
      <c r="H20" s="24" t="s">
        <v>41</v>
      </c>
      <c r="I20" s="24" t="s">
        <v>45</v>
      </c>
      <c r="J20" s="24" t="s">
        <v>19</v>
      </c>
      <c r="K20" s="24" t="s">
        <v>26</v>
      </c>
      <c r="L20" s="24" t="s">
        <v>27</v>
      </c>
      <c r="M20" s="24" t="s">
        <v>28</v>
      </c>
      <c r="N20" s="24" t="s">
        <v>29</v>
      </c>
      <c r="O20" s="24" t="s">
        <v>24</v>
      </c>
      <c r="P20" s="25" t="s">
        <v>23</v>
      </c>
      <c r="Q20" s="10" t="s">
        <v>15</v>
      </c>
    </row>
    <row r="21" spans="1:18" s="3" customFormat="1" ht="12.95" customHeight="1" x14ac:dyDescent="0.2">
      <c r="A21" s="3" t="s">
        <v>12</v>
      </c>
      <c r="B21" s="4"/>
      <c r="C21" s="26">
        <v>53122.834999999999</v>
      </c>
      <c r="D21" s="26" t="s">
        <v>14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-4.4436041807342681E-3</v>
      </c>
      <c r="Q21" s="27">
        <f>+C21-15018.5</f>
        <v>38104.334999999999</v>
      </c>
    </row>
    <row r="22" spans="1:18" s="3" customFormat="1" ht="12.95" customHeight="1" x14ac:dyDescent="0.2">
      <c r="A22" s="3" t="s">
        <v>40</v>
      </c>
      <c r="B22" s="4" t="s">
        <v>39</v>
      </c>
      <c r="C22" s="26">
        <v>53895.432000000001</v>
      </c>
      <c r="D22" s="26">
        <v>4.0000000000000002E-4</v>
      </c>
      <c r="E22" s="3">
        <f>+(C22-C$7)/C$8</f>
        <v>222.99488547150688</v>
      </c>
      <c r="F22" s="3">
        <f>ROUND(2*E22,0)/2</f>
        <v>223</v>
      </c>
      <c r="G22" s="3">
        <f>+C22-(C$7+F22*C$8)</f>
        <v>-1.7719999996188562E-2</v>
      </c>
      <c r="I22" s="3">
        <f>+G22</f>
        <v>-1.7719999996188562E-2</v>
      </c>
      <c r="O22" s="3">
        <f ca="1">+C$11+C$12*$F22</f>
        <v>-1.2611346330686685E-2</v>
      </c>
      <c r="Q22" s="27">
        <f>+C22-15018.5</f>
        <v>38876.932000000001</v>
      </c>
      <c r="R22" s="3" t="str">
        <f>IF(ABS(C22-C21)&lt;0.00001,1,"")</f>
        <v/>
      </c>
    </row>
    <row r="23" spans="1:18" s="3" customFormat="1" ht="12.95" customHeight="1" x14ac:dyDescent="0.2">
      <c r="A23" s="28" t="s">
        <v>44</v>
      </c>
      <c r="B23" s="29" t="s">
        <v>39</v>
      </c>
      <c r="C23" s="30">
        <v>59057.696799999998</v>
      </c>
      <c r="D23" s="30">
        <v>1.6999999999999999E-3</v>
      </c>
      <c r="E23" s="3">
        <f>+(C23-C$7)/C$8</f>
        <v>1712.9808003140292</v>
      </c>
      <c r="F23" s="3">
        <f>ROUND(2*E23,0)/2</f>
        <v>1713</v>
      </c>
      <c r="G23" s="3">
        <f>+C23-(C$7+F23*C$8)</f>
        <v>-6.6520000000309665E-2</v>
      </c>
      <c r="I23" s="3">
        <f>+G23</f>
        <v>-6.6520000000309665E-2</v>
      </c>
      <c r="O23" s="3">
        <f ca="1">+C$11+C$12*$F23</f>
        <v>-6.7185049485077267E-2</v>
      </c>
      <c r="Q23" s="27">
        <f>+C23-15018.5</f>
        <v>44039.196799999998</v>
      </c>
    </row>
    <row r="24" spans="1:18" s="3" customFormat="1" ht="12.95" customHeight="1" x14ac:dyDescent="0.2">
      <c r="B24" s="4"/>
      <c r="C24" s="26"/>
      <c r="D24" s="26"/>
      <c r="Q24" s="27"/>
    </row>
    <row r="25" spans="1:18" s="3" customFormat="1" ht="12.95" customHeight="1" x14ac:dyDescent="0.2">
      <c r="B25" s="4"/>
      <c r="C25" s="26"/>
      <c r="D25" s="26"/>
      <c r="Q25" s="27"/>
    </row>
    <row r="26" spans="1:18" s="3" customFormat="1" ht="12.95" customHeight="1" x14ac:dyDescent="0.2">
      <c r="B26" s="4"/>
      <c r="C26" s="26"/>
      <c r="D26" s="26"/>
      <c r="Q26" s="27"/>
    </row>
    <row r="27" spans="1:18" s="3" customFormat="1" ht="12.95" customHeight="1" x14ac:dyDescent="0.2">
      <c r="C27" s="26"/>
      <c r="D27" s="26"/>
      <c r="Q27" s="27"/>
    </row>
    <row r="28" spans="1:18" s="3" customFormat="1" ht="12.95" customHeight="1" x14ac:dyDescent="0.2">
      <c r="C28" s="26"/>
      <c r="D28" s="26"/>
      <c r="Q28" s="27"/>
    </row>
    <row r="29" spans="1:18" s="3" customFormat="1" ht="12.95" customHeight="1" x14ac:dyDescent="0.2">
      <c r="C29" s="26"/>
      <c r="D29" s="26"/>
      <c r="Q29" s="27"/>
    </row>
    <row r="30" spans="1:18" s="3" customFormat="1" ht="12.95" customHeight="1" x14ac:dyDescent="0.2">
      <c r="C30" s="26"/>
      <c r="D30" s="26"/>
      <c r="Q30" s="27"/>
    </row>
    <row r="31" spans="1:18" s="3" customFormat="1" ht="12.95" customHeight="1" x14ac:dyDescent="0.2">
      <c r="C31" s="26"/>
      <c r="D31" s="26"/>
      <c r="Q31" s="27"/>
    </row>
    <row r="32" spans="1:18" s="3" customFormat="1" ht="12.95" customHeight="1" x14ac:dyDescent="0.2">
      <c r="C32" s="26"/>
      <c r="D32" s="26"/>
      <c r="Q32" s="27"/>
    </row>
    <row r="33" spans="3:4" s="3" customFormat="1" ht="12.95" customHeight="1" x14ac:dyDescent="0.2">
      <c r="C33" s="26"/>
      <c r="D33" s="26"/>
    </row>
    <row r="34" spans="3:4" s="3" customFormat="1" ht="12.95" customHeight="1" x14ac:dyDescent="0.2">
      <c r="C34" s="26"/>
      <c r="D34" s="26"/>
    </row>
    <row r="35" spans="3:4" s="3" customFormat="1" ht="12.95" customHeight="1" x14ac:dyDescent="0.2">
      <c r="C35" s="26"/>
      <c r="D35" s="26"/>
    </row>
    <row r="36" spans="3:4" s="3" customFormat="1" ht="12.95" customHeight="1" x14ac:dyDescent="0.2">
      <c r="C36" s="26"/>
      <c r="D36" s="26"/>
    </row>
    <row r="37" spans="3:4" s="3" customFormat="1" ht="12.95" customHeight="1" x14ac:dyDescent="0.2">
      <c r="C37" s="26"/>
      <c r="D37" s="26"/>
    </row>
    <row r="38" spans="3:4" s="3" customFormat="1" ht="12.95" customHeight="1" x14ac:dyDescent="0.2">
      <c r="C38" s="26"/>
      <c r="D38" s="26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2024-02-28T04:53:03Z</dcterms:modified>
</cp:coreProperties>
</file>