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4EECC0-DD07-486E-A3B4-74A3D81F41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old)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32" i="1" l="1"/>
  <c r="F32" i="1"/>
  <c r="G32" i="1"/>
  <c r="K32" i="1"/>
  <c r="E33" i="1"/>
  <c r="F33" i="1"/>
  <c r="G33" i="1"/>
  <c r="K33" i="1"/>
  <c r="Q32" i="1"/>
  <c r="Q33" i="1"/>
  <c r="E9" i="1"/>
  <c r="D9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K29" i="1"/>
  <c r="E30" i="1"/>
  <c r="F30" i="1"/>
  <c r="G30" i="1"/>
  <c r="K30" i="1"/>
  <c r="E31" i="1"/>
  <c r="F31" i="1"/>
  <c r="G31" i="1"/>
  <c r="K31" i="1"/>
  <c r="D9" i="3"/>
  <c r="E9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H25" i="3"/>
  <c r="Q25" i="3"/>
  <c r="E26" i="3"/>
  <c r="F26" i="3"/>
  <c r="G26" i="3"/>
  <c r="H26" i="3"/>
  <c r="Q26" i="3"/>
  <c r="E27" i="3"/>
  <c r="F27" i="3"/>
  <c r="G27" i="3"/>
  <c r="H27" i="3"/>
  <c r="Q27" i="3"/>
  <c r="E28" i="3"/>
  <c r="F28" i="3"/>
  <c r="G28" i="3"/>
  <c r="H28" i="3"/>
  <c r="Q28" i="3"/>
  <c r="E29" i="3"/>
  <c r="F29" i="3"/>
  <c r="G29" i="3"/>
  <c r="K29" i="3"/>
  <c r="Q29" i="3"/>
  <c r="E30" i="3"/>
  <c r="F30" i="3"/>
  <c r="G30" i="3"/>
  <c r="K30" i="3"/>
  <c r="Q30" i="3"/>
  <c r="E31" i="3"/>
  <c r="F31" i="3"/>
  <c r="G31" i="3"/>
  <c r="K31" i="3"/>
  <c r="Q31" i="3"/>
  <c r="Q21" i="1"/>
  <c r="Q23" i="1"/>
  <c r="Q24" i="1"/>
  <c r="Q25" i="1"/>
  <c r="Q26" i="1"/>
  <c r="Q27" i="1"/>
  <c r="Q28" i="1"/>
  <c r="Q29" i="1"/>
  <c r="Q30" i="1"/>
  <c r="Q31" i="1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F16" i="1"/>
  <c r="F17" i="1" s="1"/>
  <c r="C17" i="1"/>
  <c r="Q22" i="1"/>
  <c r="C11" i="3"/>
  <c r="C12" i="3"/>
  <c r="C11" i="1"/>
  <c r="C12" i="1"/>
  <c r="C16" i="1" l="1"/>
  <c r="D18" i="1" s="1"/>
  <c r="O21" i="1"/>
  <c r="O31" i="1"/>
  <c r="O25" i="1"/>
  <c r="O29" i="1"/>
  <c r="O30" i="1"/>
  <c r="O26" i="1"/>
  <c r="O33" i="1"/>
  <c r="O28" i="1"/>
  <c r="O24" i="1"/>
  <c r="O22" i="1"/>
  <c r="C15" i="1"/>
  <c r="F18" i="1" s="1"/>
  <c r="O27" i="1"/>
  <c r="O32" i="1"/>
  <c r="O23" i="1"/>
  <c r="C16" i="3"/>
  <c r="D18" i="3" s="1"/>
  <c r="O23" i="3"/>
  <c r="O28" i="3"/>
  <c r="O30" i="3"/>
  <c r="O21" i="3"/>
  <c r="O29" i="3"/>
  <c r="O22" i="3"/>
  <c r="O27" i="3"/>
  <c r="O31" i="3"/>
  <c r="O26" i="3"/>
  <c r="O24" i="3"/>
  <c r="C15" i="3"/>
  <c r="O25" i="3"/>
  <c r="F18" i="3" l="1"/>
  <c r="F19" i="3" s="1"/>
  <c r="C18" i="3"/>
  <c r="C18" i="1"/>
  <c r="F19" i="1"/>
</calcChain>
</file>

<file path=xl/sharedStrings.xml><?xml version="1.0" encoding="utf-8"?>
<sst xmlns="http://schemas.openxmlformats.org/spreadsheetml/2006/main" count="231" uniqueCount="88">
  <si>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</si>
  <si>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</si>
  <si>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</si>
  <si>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</si>
  <si>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</si>
  <si>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</si>
  <si>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</si>
  <si>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</si>
  <si>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</si>
  <si>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</si>
  <si>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</si>
  <si>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</si>
  <si>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</si>
  <si>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</si>
  <si>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</si>
  <si>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</si>
  <si>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</si>
  <si>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</si>
  <si>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</si>
  <si>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</si>
  <si>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</si>
  <si>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</si>
  <si>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</si>
  <si>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</si>
  <si>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</si>
  <si>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</si>
  <si>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</si>
  <si>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</si>
  <si>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</si>
  <si>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</si>
  <si>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</si>
  <si>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</si>
  <si>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</si>
  <si>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</si>
  <si>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</si>
  <si>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</si>
  <si>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</si>
  <si>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</si>
  <si>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</si>
  <si>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</si>
  <si>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</si>
  <si>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</si>
  <si>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</si>
  <si>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</si>
  <si>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</si>
  <si>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</si>
  <si>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</si>
  <si>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</si>
  <si>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CW Ori</t>
  </si>
  <si>
    <t>EB</t>
  </si>
  <si>
    <t>GCVS 4</t>
  </si>
  <si>
    <t>CW Ori / GSC 25202.63</t>
  </si>
  <si>
    <t>2425202.61 </t>
  </si>
  <si>
    <t> 18.11.1927 02:38 </t>
  </si>
  <si>
    <t> -0.02 </t>
  </si>
  <si>
    <t>P </t>
  </si>
  <si>
    <t> C.Hoffmeister </t>
  </si>
  <si>
    <t> AN 238.22 </t>
  </si>
  <si>
    <t>2425245.49 </t>
  </si>
  <si>
    <t> 30.12.1927 23:45 </t>
  </si>
  <si>
    <t> -0.21 </t>
  </si>
  <si>
    <t>2425298.47 </t>
  </si>
  <si>
    <t> 21.02.1928 23:16 </t>
  </si>
  <si>
    <t> 0.14 </t>
  </si>
  <si>
    <t>2425322.33 </t>
  </si>
  <si>
    <t> 16.03.1928 19:55 </t>
  </si>
  <si>
    <t> 0.07 </t>
  </si>
  <si>
    <t>V </t>
  </si>
  <si>
    <t>2425346.35 </t>
  </si>
  <si>
    <t> 09.04.1928 20:24 </t>
  </si>
  <si>
    <t> 0.17 </t>
  </si>
  <si>
    <t>2425676.33 </t>
  </si>
  <si>
    <t> 05.03.1929 19:55 </t>
  </si>
  <si>
    <t>2456712.3766 </t>
  </si>
  <si>
    <t> 23.02.2014 21:02 </t>
  </si>
  <si>
    <t> 14.5475 </t>
  </si>
  <si>
    <t>C </t>
  </si>
  <si>
    <t> K.Kasai </t>
  </si>
  <si>
    <t>VSB 59 </t>
  </si>
  <si>
    <t>2456713.2603 </t>
  </si>
  <si>
    <t> 24.02.2014 18:14 </t>
  </si>
  <si>
    <t> 13.0387 </t>
  </si>
  <si>
    <t>2456730.3590 </t>
  </si>
  <si>
    <t> 13.03.2014 20:36 </t>
  </si>
  <si>
    <t> 13.3897 </t>
  </si>
  <si>
    <t>I</t>
  </si>
  <si>
    <t>II</t>
  </si>
  <si>
    <t>VSB 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</si>
</sst>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5" xfId="0" applyNumberFormat="1" applyFont="1" applyBorder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6" fillId="26" borderId="18" xfId="0" applyFont="1" applyFill="1" applyBorder="1" applyAlignment="1">
      <alignment horizontal="left" vertical="center"/>
    </xf>
    <xf numFmtId="0" fontId="16" fillId="0" borderId="19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42" applyFont="1" applyAlignment="1">
      <alignment horizontal="left"/>
    </xf>
    <xf numFmtId="0" fontId="5" fillId="0" borderId="0" xfId="42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Ori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-2.0000000000436557E-2</c:v>
                </c:pt>
                <c:pt idx="1">
                  <c:v>0</c:v>
                </c:pt>
                <c:pt idx="2">
                  <c:v>0.1117500000000291</c:v>
                </c:pt>
                <c:pt idx="3">
                  <c:v>8.3920000000944128E-2</c:v>
                </c:pt>
                <c:pt idx="4">
                  <c:v>4.8999999999068677E-3</c:v>
                </c:pt>
                <c:pt idx="5">
                  <c:v>4.8999999999068677E-3</c:v>
                </c:pt>
                <c:pt idx="6">
                  <c:v>8.5879999998724088E-2</c:v>
                </c:pt>
                <c:pt idx="7">
                  <c:v>4.9390000000130385E-2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6-4F75-9652-7CD5956056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E6-4F75-9652-7CD5956056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E6-4F75-9652-7CD5956056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8">
                  <c:v>1.1525000001711305E-2</c:v>
                </c:pt>
                <c:pt idx="9">
                  <c:v>4.026000000158092E-2</c:v>
                </c:pt>
                <c:pt idx="10">
                  <c:v>3.9659999994910322E-2</c:v>
                </c:pt>
                <c:pt idx="11">
                  <c:v>4.1219999999157153E-2</c:v>
                </c:pt>
                <c:pt idx="12">
                  <c:v>3.6800000001676381E-2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E6-4F75-9652-7CD5956056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E6-4F75-9652-7CD5956056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E6-4F75-9652-7CD5956056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E6-4F75-9652-7CD5956056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4.0056600396895535E-2</c:v>
                </c:pt>
                <c:pt idx="1">
                  <c:v>4.0056600396895535E-2</c:v>
                </c:pt>
                <c:pt idx="2">
                  <c:v>4.004842584546351E-2</c:v>
                </c:pt>
                <c:pt idx="3">
                  <c:v>4.0038289401687806E-2</c:v>
                </c:pt>
                <c:pt idx="4">
                  <c:v>4.0033711652885877E-2</c:v>
                </c:pt>
                <c:pt idx="5">
                  <c:v>4.0033711652885877E-2</c:v>
                </c:pt>
                <c:pt idx="6">
                  <c:v>4.0029133904083941E-2</c:v>
                </c:pt>
                <c:pt idx="7">
                  <c:v>3.9966026367028736E-2</c:v>
                </c:pt>
                <c:pt idx="8">
                  <c:v>3.4031138536352264E-2</c:v>
                </c:pt>
                <c:pt idx="9">
                  <c:v>3.4030975045323625E-2</c:v>
                </c:pt>
                <c:pt idx="10">
                  <c:v>3.4027705224750814E-2</c:v>
                </c:pt>
                <c:pt idx="11">
                  <c:v>3.3949883495117968E-2</c:v>
                </c:pt>
                <c:pt idx="12">
                  <c:v>3.390279807886952E-2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E6-4F75-9652-7CD5956056C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84</c:v>
                </c:pt>
                <c:pt idx="7">
                  <c:v>277</c:v>
                </c:pt>
                <c:pt idx="8">
                  <c:v>18427.5</c:v>
                </c:pt>
                <c:pt idx="9">
                  <c:v>18428</c:v>
                </c:pt>
                <c:pt idx="10">
                  <c:v>18438</c:v>
                </c:pt>
                <c:pt idx="11">
                  <c:v>18676</c:v>
                </c:pt>
                <c:pt idx="12">
                  <c:v>18820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E6-4F75-9652-7CD595605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335744"/>
        <c:axId val="1"/>
      </c:scatterChart>
      <c:valAx>
        <c:axId val="843335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335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Ori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1">
                    <c:v>0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-2.0000000000436557E-2</c:v>
                </c:pt>
                <c:pt idx="1">
                  <c:v>0</c:v>
                </c:pt>
                <c:pt idx="2">
                  <c:v>-0.20544999999765423</c:v>
                </c:pt>
                <c:pt idx="3">
                  <c:v>0.1389999999992142</c:v>
                </c:pt>
                <c:pt idx="4">
                  <c:v>7.3749999999563443E-2</c:v>
                </c:pt>
                <c:pt idx="5">
                  <c:v>7.3749999999563443E-2</c:v>
                </c:pt>
                <c:pt idx="6">
                  <c:v>0.16849999999612919</c:v>
                </c:pt>
                <c:pt idx="7">
                  <c:v>-1.9949999998061685E-2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6-4032-99E9-2787EC917C5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6-4032-99E9-2787EC917C5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F6-4032-99E9-2787EC917C5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  <c:pt idx="8">
                  <c:v>0.192349999997532</c:v>
                </c:pt>
                <c:pt idx="9">
                  <c:v>1.0760499999960302</c:v>
                </c:pt>
                <c:pt idx="10">
                  <c:v>-0.96545000000332948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F6-4032-99E9-2787EC917C5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F6-4032-99E9-2787EC917C5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F6-4032-99E9-2787EC917C5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F6-4032-99E9-2787EC917C5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2.5944153739000605E-2</c:v>
                </c:pt>
                <c:pt idx="1">
                  <c:v>2.5944153739000605E-2</c:v>
                </c:pt>
                <c:pt idx="2">
                  <c:v>2.6046546626251364E-2</c:v>
                </c:pt>
                <c:pt idx="3">
                  <c:v>2.6171693488446734E-2</c:v>
                </c:pt>
                <c:pt idx="4">
                  <c:v>2.6228578425808266E-2</c:v>
                </c:pt>
                <c:pt idx="5">
                  <c:v>2.6228578425808266E-2</c:v>
                </c:pt>
                <c:pt idx="6">
                  <c:v>2.6285463363169798E-2</c:v>
                </c:pt>
                <c:pt idx="7">
                  <c:v>2.7070475498758947E-2</c:v>
                </c:pt>
                <c:pt idx="8">
                  <c:v>0.10086161624413892</c:v>
                </c:pt>
                <c:pt idx="9">
                  <c:v>0.10086161624413892</c:v>
                </c:pt>
                <c:pt idx="10">
                  <c:v>0.10090712419402816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F6-4032-99E9-2787EC917C5B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99</c:v>
                </c:pt>
                <c:pt idx="8">
                  <c:v>6585</c:v>
                </c:pt>
                <c:pt idx="9">
                  <c:v>6585</c:v>
                </c:pt>
                <c:pt idx="10">
                  <c:v>6589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F6-4032-99E9-2787EC917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735216"/>
        <c:axId val="1"/>
      </c:scatterChart>
      <c:valAx>
        <c:axId val="84473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73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052631578947367"/>
          <c:y val="0.92397937099967764"/>
          <c:w val="0.92481203007518797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E1A668-1424-49D1-31C1-C1665F87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BFEA5E1-2328-86FC-037E-7020B02A4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3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49" t="s">
        <v>48</v>
      </c>
      <c r="G1" s="50">
        <v>6.1226199999999995</v>
      </c>
      <c r="H1" s="31">
        <v>11.4451</v>
      </c>
      <c r="I1" s="32">
        <v>25202.63</v>
      </c>
      <c r="J1" s="32">
        <v>4.78505</v>
      </c>
      <c r="K1" s="51" t="s">
        <v>49</v>
      </c>
      <c r="L1" s="31"/>
      <c r="M1" s="32">
        <v>25202.63</v>
      </c>
      <c r="N1" s="32">
        <v>4.78505</v>
      </c>
      <c r="O1" s="35" t="s">
        <v>49</v>
      </c>
    </row>
    <row r="2" spans="1:15" s="57" customFormat="1" ht="12.95" customHeight="1" x14ac:dyDescent="0.2">
      <c r="A2" s="57" t="s">
        <v>23</v>
      </c>
      <c r="B2" s="57" t="s">
        <v>49</v>
      </c>
      <c r="C2" s="58"/>
      <c r="D2" s="59"/>
    </row>
    <row r="3" spans="1:15" s="57" customFormat="1" ht="12.95" customHeight="1" thickBot="1" x14ac:dyDescent="0.25"/>
    <row r="4" spans="1:15" s="57" customFormat="1" ht="12.95" customHeight="1" thickTop="1" thickBot="1" x14ac:dyDescent="0.25">
      <c r="A4" s="60" t="s">
        <v>0</v>
      </c>
      <c r="C4" s="61">
        <v>25202.63</v>
      </c>
      <c r="D4" s="62">
        <v>4.78505</v>
      </c>
    </row>
    <row r="5" spans="1:15" s="57" customFormat="1" ht="12.95" customHeight="1" thickTop="1" x14ac:dyDescent="0.2">
      <c r="A5" s="63" t="s">
        <v>28</v>
      </c>
      <c r="C5" s="64">
        <v>-9.5</v>
      </c>
      <c r="D5" s="57" t="s">
        <v>29</v>
      </c>
    </row>
    <row r="6" spans="1:15" s="57" customFormat="1" ht="12.95" customHeight="1" x14ac:dyDescent="0.2">
      <c r="A6" s="60" t="s">
        <v>1</v>
      </c>
    </row>
    <row r="7" spans="1:15" s="57" customFormat="1" ht="12.95" customHeight="1" x14ac:dyDescent="0.2">
      <c r="A7" s="57" t="s">
        <v>2</v>
      </c>
      <c r="C7" s="65">
        <v>25202.63</v>
      </c>
      <c r="D7" s="66" t="s">
        <v>50</v>
      </c>
    </row>
    <row r="8" spans="1:15" s="57" customFormat="1" ht="12.95" customHeight="1" x14ac:dyDescent="0.2">
      <c r="A8" s="57" t="s">
        <v>3</v>
      </c>
      <c r="C8" s="65">
        <v>1.7099299999999999</v>
      </c>
      <c r="D8" s="66" t="s">
        <v>87</v>
      </c>
    </row>
    <row r="9" spans="1:15" s="57" customFormat="1" ht="12.95" customHeight="1" x14ac:dyDescent="0.2">
      <c r="A9" s="67" t="s">
        <v>32</v>
      </c>
      <c r="C9" s="68">
        <v>21</v>
      </c>
      <c r="D9" s="69" t="str">
        <f>"F"&amp;C9</f>
        <v>F21</v>
      </c>
      <c r="E9" s="70" t="str">
        <f>"G"&amp;C9</f>
        <v>G21</v>
      </c>
    </row>
    <row r="10" spans="1:15" s="57" customFormat="1" ht="12.95" customHeight="1" thickBot="1" x14ac:dyDescent="0.25">
      <c r="C10" s="71" t="s">
        <v>19</v>
      </c>
      <c r="D10" s="71" t="s">
        <v>20</v>
      </c>
    </row>
    <row r="11" spans="1:15" s="57" customFormat="1" ht="12.95" customHeight="1" x14ac:dyDescent="0.2">
      <c r="A11" s="57" t="s">
        <v>15</v>
      </c>
      <c r="C11" s="70">
        <f ca="1">INTERCEPT(INDIRECT($E$9):G986,INDIRECT($D$9):F986)</f>
        <v>4.0056600396895535E-2</v>
      </c>
      <c r="D11" s="59"/>
    </row>
    <row r="12" spans="1:15" s="57" customFormat="1" ht="12.95" customHeight="1" x14ac:dyDescent="0.2">
      <c r="A12" s="57" t="s">
        <v>16</v>
      </c>
      <c r="C12" s="70">
        <f ca="1">SLOPE(INDIRECT($E$9):G986,INDIRECT($D$9):F986)</f>
        <v>-3.2698205728087219E-7</v>
      </c>
      <c r="D12" s="59"/>
    </row>
    <row r="13" spans="1:15" s="57" customFormat="1" ht="12.95" customHeight="1" x14ac:dyDescent="0.2">
      <c r="A13" s="57" t="s">
        <v>18</v>
      </c>
      <c r="C13" s="59" t="s">
        <v>13</v>
      </c>
    </row>
    <row r="14" spans="1:15" s="57" customFormat="1" ht="12.95" customHeight="1" x14ac:dyDescent="0.2"/>
    <row r="15" spans="1:15" s="57" customFormat="1" ht="12.95" customHeight="1" x14ac:dyDescent="0.2">
      <c r="A15" s="72" t="s">
        <v>17</v>
      </c>
      <c r="C15" s="73">
        <f ca="1">(C7+C11)+(C8+C12)*INT(MAX(F21:F3527))</f>
        <v>57383.546502798083</v>
      </c>
      <c r="E15" s="74" t="s">
        <v>34</v>
      </c>
      <c r="F15" s="75">
        <v>1</v>
      </c>
    </row>
    <row r="16" spans="1:15" s="57" customFormat="1" ht="12.95" customHeight="1" x14ac:dyDescent="0.2">
      <c r="A16" s="60" t="s">
        <v>4</v>
      </c>
      <c r="C16" s="76">
        <f ca="1">+C8+C12</f>
        <v>1.7099296730179427</v>
      </c>
      <c r="E16" s="74" t="s">
        <v>30</v>
      </c>
      <c r="F16" s="76">
        <f ca="1">NOW()+15018.5+$C$5/24</f>
        <v>60368.781760879625</v>
      </c>
    </row>
    <row r="17" spans="1:18" s="57" customFormat="1" ht="12.95" customHeight="1" thickBot="1" x14ac:dyDescent="0.25">
      <c r="A17" s="74" t="s">
        <v>27</v>
      </c>
      <c r="C17" s="57">
        <f>COUNT(C21:C2185)</f>
        <v>13</v>
      </c>
      <c r="E17" s="74" t="s">
        <v>35</v>
      </c>
      <c r="F17" s="77">
        <f ca="1">ROUND(2*(F16-$C$7)/$C$8,0)/2+F15</f>
        <v>20567</v>
      </c>
    </row>
    <row r="18" spans="1:18" s="57" customFormat="1" ht="12.95" customHeight="1" thickTop="1" thickBot="1" x14ac:dyDescent="0.25">
      <c r="A18" s="60" t="s">
        <v>5</v>
      </c>
      <c r="C18" s="78">
        <f ca="1">+C15</f>
        <v>57383.546502798083</v>
      </c>
      <c r="D18" s="79">
        <f ca="1">+C16</f>
        <v>1.7099296730179427</v>
      </c>
      <c r="E18" s="74" t="s">
        <v>36</v>
      </c>
      <c r="F18" s="70">
        <f ca="1">ROUND(2*(F16-$C$15)/$C$16,0)/2+F15</f>
        <v>1747</v>
      </c>
    </row>
    <row r="19" spans="1:18" s="57" customFormat="1" ht="12.95" customHeight="1" thickTop="1" x14ac:dyDescent="0.2">
      <c r="E19" s="74" t="s">
        <v>31</v>
      </c>
      <c r="F19" s="80">
        <f ca="1">+$C$15+$C$16*F18-15018.5-$C$5/24</f>
        <v>45352.689474893763</v>
      </c>
    </row>
    <row r="20" spans="1:18" s="57" customFormat="1" ht="12.95" customHeight="1" thickBot="1" x14ac:dyDescent="0.25">
      <c r="A20" s="71" t="s">
        <v>6</v>
      </c>
      <c r="B20" s="71" t="s">
        <v>7</v>
      </c>
      <c r="C20" s="71" t="s">
        <v>8</v>
      </c>
      <c r="D20" s="71" t="s">
        <v>12</v>
      </c>
      <c r="E20" s="71" t="s">
        <v>9</v>
      </c>
      <c r="F20" s="71" t="s">
        <v>10</v>
      </c>
      <c r="G20" s="71" t="s">
        <v>11</v>
      </c>
      <c r="H20" s="81" t="s">
        <v>37</v>
      </c>
      <c r="I20" s="81" t="s">
        <v>38</v>
      </c>
      <c r="J20" s="81" t="s">
        <v>39</v>
      </c>
      <c r="K20" s="81" t="s">
        <v>40</v>
      </c>
      <c r="L20" s="81" t="s">
        <v>24</v>
      </c>
      <c r="M20" s="81" t="s">
        <v>25</v>
      </c>
      <c r="N20" s="81" t="s">
        <v>26</v>
      </c>
      <c r="O20" s="81" t="s">
        <v>22</v>
      </c>
      <c r="P20" s="82" t="s">
        <v>21</v>
      </c>
      <c r="Q20" s="71" t="s">
        <v>14</v>
      </c>
      <c r="R20" s="83" t="s">
        <v>33</v>
      </c>
    </row>
    <row r="21" spans="1:18" s="57" customFormat="1" ht="12.95" customHeight="1" x14ac:dyDescent="0.2">
      <c r="A21" s="84" t="s">
        <v>57</v>
      </c>
      <c r="B21" s="85" t="s">
        <v>85</v>
      </c>
      <c r="C21" s="86">
        <v>25202.61</v>
      </c>
      <c r="D21" s="87"/>
      <c r="E21" s="57">
        <f t="shared" ref="E21:E31" si="0">+(C21-C$7)/C$8</f>
        <v>-1.1696385232399313E-2</v>
      </c>
      <c r="F21" s="57">
        <f t="shared" ref="F21:F33" si="1">ROUND(2*E21,0)/2</f>
        <v>0</v>
      </c>
      <c r="G21" s="57">
        <f t="shared" ref="G21:G31" si="2">+C21-(C$7+F21*C$8)</f>
        <v>-2.0000000000436557E-2</v>
      </c>
      <c r="H21" s="57">
        <f t="shared" ref="H21:H28" si="3">+G21</f>
        <v>-2.0000000000436557E-2</v>
      </c>
      <c r="O21" s="57">
        <f t="shared" ref="O21:O31" ca="1" si="4">+C$11+C$12*$F21</f>
        <v>4.0056600396895535E-2</v>
      </c>
      <c r="Q21" s="88">
        <f t="shared" ref="Q21:Q31" si="5">+C21-15018.5</f>
        <v>10184.11</v>
      </c>
    </row>
    <row r="22" spans="1:18" s="57" customFormat="1" ht="12.95" customHeight="1" x14ac:dyDescent="0.2">
      <c r="A22" s="57" t="s">
        <v>50</v>
      </c>
      <c r="C22" s="87">
        <v>25202.63</v>
      </c>
      <c r="D22" s="87" t="s">
        <v>13</v>
      </c>
      <c r="E22" s="57">
        <f t="shared" si="0"/>
        <v>0</v>
      </c>
      <c r="F22" s="57">
        <f t="shared" si="1"/>
        <v>0</v>
      </c>
      <c r="G22" s="57">
        <f t="shared" si="2"/>
        <v>0</v>
      </c>
      <c r="H22" s="57">
        <f t="shared" si="3"/>
        <v>0</v>
      </c>
      <c r="O22" s="57">
        <f t="shared" ca="1" si="4"/>
        <v>4.0056600396895535E-2</v>
      </c>
      <c r="Q22" s="88">
        <f t="shared" si="5"/>
        <v>10184.130000000001</v>
      </c>
    </row>
    <row r="23" spans="1:18" s="57" customFormat="1" ht="12.95" customHeight="1" x14ac:dyDescent="0.2">
      <c r="A23" s="84" t="s">
        <v>57</v>
      </c>
      <c r="B23" s="85" t="s">
        <v>85</v>
      </c>
      <c r="C23" s="86">
        <v>25245.49</v>
      </c>
      <c r="D23" s="87"/>
      <c r="E23" s="57">
        <f t="shared" si="0"/>
        <v>25.065353552484947</v>
      </c>
      <c r="F23" s="57">
        <f t="shared" si="1"/>
        <v>25</v>
      </c>
      <c r="G23" s="57">
        <f t="shared" si="2"/>
        <v>0.1117500000000291</v>
      </c>
      <c r="H23" s="57">
        <f t="shared" si="3"/>
        <v>0.1117500000000291</v>
      </c>
      <c r="O23" s="57">
        <f t="shared" ca="1" si="4"/>
        <v>4.004842584546351E-2</v>
      </c>
      <c r="Q23" s="88">
        <f t="shared" si="5"/>
        <v>10226.990000000002</v>
      </c>
    </row>
    <row r="24" spans="1:18" s="57" customFormat="1" ht="12.95" customHeight="1" x14ac:dyDescent="0.2">
      <c r="A24" s="84" t="s">
        <v>57</v>
      </c>
      <c r="B24" s="85" t="s">
        <v>85</v>
      </c>
      <c r="C24" s="86">
        <v>25298.47</v>
      </c>
      <c r="D24" s="87"/>
      <c r="E24" s="57">
        <f t="shared" si="0"/>
        <v>56.04907803243416</v>
      </c>
      <c r="F24" s="57">
        <f t="shared" si="1"/>
        <v>56</v>
      </c>
      <c r="G24" s="57">
        <f t="shared" si="2"/>
        <v>8.3920000000944128E-2</v>
      </c>
      <c r="H24" s="57">
        <f t="shared" si="3"/>
        <v>8.3920000000944128E-2</v>
      </c>
      <c r="O24" s="57">
        <f t="shared" ca="1" si="4"/>
        <v>4.0038289401687806E-2</v>
      </c>
      <c r="Q24" s="88">
        <f t="shared" si="5"/>
        <v>10279.970000000001</v>
      </c>
    </row>
    <row r="25" spans="1:18" s="57" customFormat="1" ht="12.95" customHeight="1" x14ac:dyDescent="0.2">
      <c r="A25" s="84" t="s">
        <v>57</v>
      </c>
      <c r="B25" s="85" t="s">
        <v>85</v>
      </c>
      <c r="C25" s="86">
        <v>25322.33</v>
      </c>
      <c r="D25" s="87"/>
      <c r="E25" s="57">
        <f t="shared" si="0"/>
        <v>70.002865614382301</v>
      </c>
      <c r="F25" s="57">
        <f t="shared" si="1"/>
        <v>70</v>
      </c>
      <c r="G25" s="57">
        <f t="shared" si="2"/>
        <v>4.8999999999068677E-3</v>
      </c>
      <c r="H25" s="57">
        <f t="shared" si="3"/>
        <v>4.8999999999068677E-3</v>
      </c>
      <c r="O25" s="57">
        <f t="shared" ca="1" si="4"/>
        <v>4.0033711652885877E-2</v>
      </c>
      <c r="Q25" s="88">
        <f t="shared" si="5"/>
        <v>10303.830000000002</v>
      </c>
    </row>
    <row r="26" spans="1:18" s="57" customFormat="1" ht="12.95" customHeight="1" x14ac:dyDescent="0.2">
      <c r="A26" s="84" t="s">
        <v>57</v>
      </c>
      <c r="B26" s="85" t="s">
        <v>85</v>
      </c>
      <c r="C26" s="86">
        <v>25322.33</v>
      </c>
      <c r="D26" s="87"/>
      <c r="E26" s="57">
        <f t="shared" si="0"/>
        <v>70.002865614382301</v>
      </c>
      <c r="F26" s="57">
        <f t="shared" si="1"/>
        <v>70</v>
      </c>
      <c r="G26" s="57">
        <f t="shared" si="2"/>
        <v>4.8999999999068677E-3</v>
      </c>
      <c r="H26" s="57">
        <f t="shared" si="3"/>
        <v>4.8999999999068677E-3</v>
      </c>
      <c r="O26" s="57">
        <f t="shared" ca="1" si="4"/>
        <v>4.0033711652885877E-2</v>
      </c>
      <c r="Q26" s="88">
        <f t="shared" si="5"/>
        <v>10303.830000000002</v>
      </c>
    </row>
    <row r="27" spans="1:18" x14ac:dyDescent="0.2">
      <c r="A27" s="52" t="s">
        <v>57</v>
      </c>
      <c r="B27" s="54" t="s">
        <v>85</v>
      </c>
      <c r="C27" s="53">
        <v>25346.35</v>
      </c>
      <c r="D27" s="8"/>
      <c r="E27">
        <f t="shared" si="0"/>
        <v>84.050224278185382</v>
      </c>
      <c r="F27">
        <f t="shared" si="1"/>
        <v>84</v>
      </c>
      <c r="G27">
        <f t="shared" si="2"/>
        <v>8.5879999998724088E-2</v>
      </c>
      <c r="H27">
        <f t="shared" si="3"/>
        <v>8.5879999998724088E-2</v>
      </c>
      <c r="O27">
        <f t="shared" ca="1" si="4"/>
        <v>4.0029133904083941E-2</v>
      </c>
      <c r="Q27" s="2">
        <f t="shared" si="5"/>
        <v>10327.849999999999</v>
      </c>
    </row>
    <row r="28" spans="1:18" x14ac:dyDescent="0.2">
      <c r="A28" s="52" t="s">
        <v>57</v>
      </c>
      <c r="B28" s="54" t="s">
        <v>85</v>
      </c>
      <c r="C28" s="53">
        <v>25676.33</v>
      </c>
      <c r="D28" s="8"/>
      <c r="E28">
        <f t="shared" si="0"/>
        <v>277.0288842233312</v>
      </c>
      <c r="F28">
        <f t="shared" si="1"/>
        <v>277</v>
      </c>
      <c r="G28">
        <f t="shared" si="2"/>
        <v>4.9390000000130385E-2</v>
      </c>
      <c r="H28">
        <f t="shared" si="3"/>
        <v>4.9390000000130385E-2</v>
      </c>
      <c r="O28">
        <f t="shared" ca="1" si="4"/>
        <v>3.9966026367028736E-2</v>
      </c>
      <c r="Q28" s="2">
        <f t="shared" si="5"/>
        <v>10657.830000000002</v>
      </c>
    </row>
    <row r="29" spans="1:18" x14ac:dyDescent="0.2">
      <c r="A29" s="52" t="s">
        <v>78</v>
      </c>
      <c r="B29" s="54" t="s">
        <v>85</v>
      </c>
      <c r="C29" s="53">
        <v>56712.376600000003</v>
      </c>
      <c r="D29" s="8"/>
      <c r="E29">
        <f t="shared" si="0"/>
        <v>18427.50674004199</v>
      </c>
      <c r="F29">
        <f t="shared" si="1"/>
        <v>18427.5</v>
      </c>
      <c r="G29">
        <f t="shared" si="2"/>
        <v>1.1525000001711305E-2</v>
      </c>
      <c r="K29">
        <f>+G29</f>
        <v>1.1525000001711305E-2</v>
      </c>
      <c r="O29">
        <f t="shared" ca="1" si="4"/>
        <v>3.4031138536352264E-2</v>
      </c>
      <c r="Q29" s="2">
        <f t="shared" si="5"/>
        <v>41693.876600000003</v>
      </c>
    </row>
    <row r="30" spans="1:18" x14ac:dyDescent="0.2">
      <c r="A30" s="52" t="s">
        <v>78</v>
      </c>
      <c r="B30" s="54" t="s">
        <v>86</v>
      </c>
      <c r="C30" s="53">
        <v>56713.260300000002</v>
      </c>
      <c r="D30" s="8"/>
      <c r="E30">
        <f t="shared" si="0"/>
        <v>18428.023544823474</v>
      </c>
      <c r="F30">
        <f t="shared" si="1"/>
        <v>18428</v>
      </c>
      <c r="G30">
        <f t="shared" si="2"/>
        <v>4.026000000158092E-2</v>
      </c>
      <c r="K30">
        <f>+G30</f>
        <v>4.026000000158092E-2</v>
      </c>
      <c r="O30">
        <f t="shared" ca="1" si="4"/>
        <v>3.4030975045323625E-2</v>
      </c>
      <c r="Q30" s="2">
        <f t="shared" si="5"/>
        <v>41694.760300000002</v>
      </c>
    </row>
    <row r="31" spans="1:18" x14ac:dyDescent="0.2">
      <c r="A31" s="52" t="s">
        <v>78</v>
      </c>
      <c r="B31" s="54" t="s">
        <v>85</v>
      </c>
      <c r="C31" s="53">
        <v>56730.358999999997</v>
      </c>
      <c r="D31" s="8"/>
      <c r="E31">
        <f t="shared" si="0"/>
        <v>18438.023193931913</v>
      </c>
      <c r="F31">
        <f t="shared" si="1"/>
        <v>18438</v>
      </c>
      <c r="G31">
        <f t="shared" si="2"/>
        <v>3.9659999994910322E-2</v>
      </c>
      <c r="K31">
        <f>+G31</f>
        <v>3.9659999994910322E-2</v>
      </c>
      <c r="O31">
        <f t="shared" ca="1" si="4"/>
        <v>3.4027705224750814E-2</v>
      </c>
      <c r="Q31" s="2">
        <f t="shared" si="5"/>
        <v>41711.858999999997</v>
      </c>
    </row>
    <row r="32" spans="1:18" x14ac:dyDescent="0.2">
      <c r="A32" s="55" t="s">
        <v>87</v>
      </c>
      <c r="B32" s="56" t="s">
        <v>85</v>
      </c>
      <c r="C32" s="55">
        <v>57137.323900000003</v>
      </c>
      <c r="D32" s="55" t="s">
        <v>47</v>
      </c>
      <c r="E32">
        <f>+(C32-C$7)/C$8</f>
        <v>18676.024106249966</v>
      </c>
      <c r="F32">
        <f t="shared" si="1"/>
        <v>18676</v>
      </c>
      <c r="G32">
        <f>+C32-(C$7+F32*C$8)</f>
        <v>4.1219999999157153E-2</v>
      </c>
      <c r="K32">
        <f>+G32</f>
        <v>4.1219999999157153E-2</v>
      </c>
      <c r="O32">
        <f ca="1">+C$11+C$12*$F32</f>
        <v>3.3949883495117968E-2</v>
      </c>
      <c r="Q32" s="2">
        <f>+C32-15018.5</f>
        <v>42118.823900000003</v>
      </c>
    </row>
    <row r="33" spans="1:17" x14ac:dyDescent="0.2">
      <c r="A33" s="55" t="s">
        <v>87</v>
      </c>
      <c r="B33" s="56" t="s">
        <v>85</v>
      </c>
      <c r="C33" s="55">
        <v>57383.549400000004</v>
      </c>
      <c r="D33" s="55" t="s">
        <v>47</v>
      </c>
      <c r="E33">
        <f>+(C33-C$7)/C$8</f>
        <v>18820.02152134883</v>
      </c>
      <c r="F33">
        <f t="shared" si="1"/>
        <v>18820</v>
      </c>
      <c r="G33">
        <f>+C33-(C$7+F33*C$8)</f>
        <v>3.6800000001676381E-2</v>
      </c>
      <c r="K33">
        <f>+G33</f>
        <v>3.6800000001676381E-2</v>
      </c>
      <c r="O33">
        <f ca="1">+C$11+C$12*$F33</f>
        <v>3.390279807886952E-2</v>
      </c>
      <c r="Q33" s="2">
        <f>+C33-15018.5</f>
        <v>42365.049400000004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/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49" t="s">
        <v>48</v>
      </c>
      <c r="G1" s="50">
        <v>6.1226199999999995</v>
      </c>
      <c r="H1" s="31">
        <v>11.4451</v>
      </c>
      <c r="I1" s="32">
        <v>25202.63</v>
      </c>
      <c r="J1" s="32">
        <v>4.78505</v>
      </c>
      <c r="K1" s="51" t="s">
        <v>49</v>
      </c>
      <c r="L1" s="31"/>
      <c r="M1" s="32">
        <v>25202.63</v>
      </c>
      <c r="N1" s="32">
        <v>4.78505</v>
      </c>
      <c r="O1" s="35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25202.63</v>
      </c>
      <c r="D4" s="28">
        <v>4.78505</v>
      </c>
    </row>
    <row r="5" spans="1:15" ht="13.5" thickTop="1" x14ac:dyDescent="0.2">
      <c r="A5" s="9" t="s">
        <v>28</v>
      </c>
      <c r="B5" s="10"/>
      <c r="C5" s="11">
        <v>8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25202.63</v>
      </c>
      <c r="D7" s="29" t="s">
        <v>50</v>
      </c>
    </row>
    <row r="8" spans="1:15" x14ac:dyDescent="0.2">
      <c r="A8" t="s">
        <v>3</v>
      </c>
      <c r="C8" s="8">
        <v>4.78505</v>
      </c>
      <c r="D8" s="29" t="s">
        <v>50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2.5944153739000605E-2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1.1376987472306502E-5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56731.425357124193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4.7850613769874721</v>
      </c>
      <c r="E16" s="14" t="s">
        <v>30</v>
      </c>
      <c r="F16" s="34">
        <f ca="1">NOW()+15018.5+$C$5/24</f>
        <v>60369.510927546296</v>
      </c>
    </row>
    <row r="17" spans="1:18" ht="13.5" thickBot="1" x14ac:dyDescent="0.25">
      <c r="A17" s="14" t="s">
        <v>27</v>
      </c>
      <c r="B17" s="10"/>
      <c r="C17" s="10">
        <f>COUNT(C21:C2190)</f>
        <v>11</v>
      </c>
      <c r="E17" s="14" t="s">
        <v>35</v>
      </c>
      <c r="F17" s="15">
        <f ca="1">ROUND(2*(F16-$C$7)/$C$8,0)/2+F15</f>
        <v>7350.5</v>
      </c>
    </row>
    <row r="18" spans="1:18" ht="14.25" thickTop="1" thickBot="1" x14ac:dyDescent="0.25">
      <c r="A18" s="16" t="s">
        <v>5</v>
      </c>
      <c r="B18" s="10"/>
      <c r="C18" s="19">
        <f ca="1">+C15</f>
        <v>56731.425357124193</v>
      </c>
      <c r="D18" s="20">
        <f ca="1">+C16</f>
        <v>4.7850613769874721</v>
      </c>
      <c r="E18" s="14" t="s">
        <v>36</v>
      </c>
      <c r="F18" s="23">
        <f ca="1">ROUND(2*(F16-$C$15)/$C$16,0)/2+F15</f>
        <v>761.5</v>
      </c>
    </row>
    <row r="19" spans="1:18" ht="13.5" thickTop="1" x14ac:dyDescent="0.2">
      <c r="E19" s="14" t="s">
        <v>31</v>
      </c>
      <c r="F19" s="18">
        <f ca="1">+$C$15+$C$16*F18-15018.5-$C$5/24</f>
        <v>45356.416262366816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2" t="s">
        <v>57</v>
      </c>
      <c r="B21" s="54" t="s">
        <v>85</v>
      </c>
      <c r="C21" s="53">
        <v>25202.61</v>
      </c>
      <c r="D21" s="8"/>
      <c r="E21">
        <f t="shared" ref="E21:E31" si="0">+(C21-C$7)/C$8</f>
        <v>-4.1796846428849349E-3</v>
      </c>
      <c r="F21">
        <f t="shared" ref="F21:F31" si="1">ROUND(2*E21,0)/2</f>
        <v>0</v>
      </c>
      <c r="G21">
        <f t="shared" ref="G21:G31" si="2">+C21-(C$7+F21*C$8)</f>
        <v>-2.0000000000436557E-2</v>
      </c>
      <c r="H21">
        <f t="shared" ref="H21:H28" si="3">+G21</f>
        <v>-2.0000000000436557E-2</v>
      </c>
      <c r="O21">
        <f t="shared" ref="O21:O31" ca="1" si="4">+C$11+C$12*$F21</f>
        <v>2.5944153739000605E-2</v>
      </c>
      <c r="Q21" s="2">
        <f t="shared" ref="Q21:Q31" si="5">+C21-15018.5</f>
        <v>10184.11</v>
      </c>
    </row>
    <row r="22" spans="1:18" x14ac:dyDescent="0.2">
      <c r="A22" t="s">
        <v>50</v>
      </c>
      <c r="C22" s="8">
        <v>25202.63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2.5944153739000605E-2</v>
      </c>
      <c r="Q22" s="2">
        <f t="shared" si="5"/>
        <v>10184.130000000001</v>
      </c>
    </row>
    <row r="23" spans="1:18" x14ac:dyDescent="0.2">
      <c r="A23" s="52" t="s">
        <v>57</v>
      </c>
      <c r="B23" s="54" t="s">
        <v>85</v>
      </c>
      <c r="C23" s="53">
        <v>25245.49</v>
      </c>
      <c r="D23" s="8"/>
      <c r="E23">
        <f t="shared" si="0"/>
        <v>8.9570641895070224</v>
      </c>
      <c r="F23">
        <f t="shared" si="1"/>
        <v>9</v>
      </c>
      <c r="G23">
        <f t="shared" si="2"/>
        <v>-0.20544999999765423</v>
      </c>
      <c r="H23">
        <f t="shared" si="3"/>
        <v>-0.20544999999765423</v>
      </c>
      <c r="O23">
        <f t="shared" ca="1" si="4"/>
        <v>2.6046546626251364E-2</v>
      </c>
      <c r="Q23" s="2">
        <f t="shared" si="5"/>
        <v>10226.990000000002</v>
      </c>
    </row>
    <row r="24" spans="1:18" x14ac:dyDescent="0.2">
      <c r="A24" s="52" t="s">
        <v>57</v>
      </c>
      <c r="B24" s="54" t="s">
        <v>85</v>
      </c>
      <c r="C24" s="53">
        <v>25298.47</v>
      </c>
      <c r="D24" s="8"/>
      <c r="E24">
        <f t="shared" si="0"/>
        <v>20.029048808267447</v>
      </c>
      <c r="F24">
        <f t="shared" si="1"/>
        <v>20</v>
      </c>
      <c r="G24">
        <f t="shared" si="2"/>
        <v>0.1389999999992142</v>
      </c>
      <c r="H24">
        <f t="shared" si="3"/>
        <v>0.1389999999992142</v>
      </c>
      <c r="O24">
        <f t="shared" ca="1" si="4"/>
        <v>2.6171693488446734E-2</v>
      </c>
      <c r="Q24" s="2">
        <f t="shared" si="5"/>
        <v>10279.970000000001</v>
      </c>
    </row>
    <row r="25" spans="1:18" x14ac:dyDescent="0.2">
      <c r="A25" s="52" t="s">
        <v>57</v>
      </c>
      <c r="B25" s="54" t="s">
        <v>85</v>
      </c>
      <c r="C25" s="53">
        <v>25322.33</v>
      </c>
      <c r="D25" s="8"/>
      <c r="E25">
        <f t="shared" si="0"/>
        <v>25.015412587120455</v>
      </c>
      <c r="F25">
        <f t="shared" si="1"/>
        <v>25</v>
      </c>
      <c r="G25">
        <f t="shared" si="2"/>
        <v>7.3749999999563443E-2</v>
      </c>
      <c r="H25">
        <f t="shared" si="3"/>
        <v>7.3749999999563443E-2</v>
      </c>
      <c r="O25">
        <f t="shared" ca="1" si="4"/>
        <v>2.6228578425808266E-2</v>
      </c>
      <c r="Q25" s="2">
        <f t="shared" si="5"/>
        <v>10303.830000000002</v>
      </c>
    </row>
    <row r="26" spans="1:18" x14ac:dyDescent="0.2">
      <c r="A26" s="52" t="s">
        <v>57</v>
      </c>
      <c r="B26" s="54" t="s">
        <v>85</v>
      </c>
      <c r="C26" s="53">
        <v>25322.33</v>
      </c>
      <c r="D26" s="8"/>
      <c r="E26">
        <f t="shared" si="0"/>
        <v>25.015412587120455</v>
      </c>
      <c r="F26">
        <f t="shared" si="1"/>
        <v>25</v>
      </c>
      <c r="G26">
        <f t="shared" si="2"/>
        <v>7.3749999999563443E-2</v>
      </c>
      <c r="H26">
        <f t="shared" si="3"/>
        <v>7.3749999999563443E-2</v>
      </c>
      <c r="O26">
        <f t="shared" ca="1" si="4"/>
        <v>2.6228578425808266E-2</v>
      </c>
      <c r="Q26" s="2">
        <f t="shared" si="5"/>
        <v>10303.830000000002</v>
      </c>
    </row>
    <row r="27" spans="1:18" x14ac:dyDescent="0.2">
      <c r="A27" s="52" t="s">
        <v>57</v>
      </c>
      <c r="B27" s="54" t="s">
        <v>85</v>
      </c>
      <c r="C27" s="53">
        <v>25346.35</v>
      </c>
      <c r="D27" s="8"/>
      <c r="E27">
        <f t="shared" si="0"/>
        <v>30.03521384311502</v>
      </c>
      <c r="F27">
        <f t="shared" si="1"/>
        <v>30</v>
      </c>
      <c r="G27">
        <f t="shared" si="2"/>
        <v>0.16849999999612919</v>
      </c>
      <c r="H27">
        <f t="shared" si="3"/>
        <v>0.16849999999612919</v>
      </c>
      <c r="O27">
        <f t="shared" ca="1" si="4"/>
        <v>2.6285463363169798E-2</v>
      </c>
      <c r="Q27" s="2">
        <f t="shared" si="5"/>
        <v>10327.849999999999</v>
      </c>
    </row>
    <row r="28" spans="1:18" x14ac:dyDescent="0.2">
      <c r="A28" s="52" t="s">
        <v>57</v>
      </c>
      <c r="B28" s="54" t="s">
        <v>85</v>
      </c>
      <c r="C28" s="53">
        <v>25676.33</v>
      </c>
      <c r="D28" s="8"/>
      <c r="E28">
        <f t="shared" si="0"/>
        <v>98.995830764568964</v>
      </c>
      <c r="F28">
        <f t="shared" si="1"/>
        <v>99</v>
      </c>
      <c r="G28">
        <f t="shared" si="2"/>
        <v>-1.9949999998061685E-2</v>
      </c>
      <c r="H28">
        <f t="shared" si="3"/>
        <v>-1.9949999998061685E-2</v>
      </c>
      <c r="O28">
        <f t="shared" ca="1" si="4"/>
        <v>2.7070475498758947E-2</v>
      </c>
      <c r="Q28" s="2">
        <f t="shared" si="5"/>
        <v>10657.830000000002</v>
      </c>
    </row>
    <row r="29" spans="1:18" x14ac:dyDescent="0.2">
      <c r="A29" s="52" t="s">
        <v>78</v>
      </c>
      <c r="B29" s="54" t="s">
        <v>85</v>
      </c>
      <c r="C29" s="53">
        <v>56712.376600000003</v>
      </c>
      <c r="D29" s="8"/>
      <c r="E29">
        <f t="shared" si="0"/>
        <v>6585.0401981170526</v>
      </c>
      <c r="F29">
        <f t="shared" si="1"/>
        <v>6585</v>
      </c>
      <c r="G29">
        <f t="shared" si="2"/>
        <v>0.192349999997532</v>
      </c>
      <c r="K29">
        <f>+G29</f>
        <v>0.192349999997532</v>
      </c>
      <c r="O29">
        <f t="shared" ca="1" si="4"/>
        <v>0.10086161624413892</v>
      </c>
      <c r="Q29" s="2">
        <f t="shared" si="5"/>
        <v>41693.876600000003</v>
      </c>
    </row>
    <row r="30" spans="1:18" x14ac:dyDescent="0.2">
      <c r="A30" s="52" t="s">
        <v>78</v>
      </c>
      <c r="B30" s="54" t="s">
        <v>86</v>
      </c>
      <c r="C30" s="53">
        <v>56713.260300000002</v>
      </c>
      <c r="D30" s="8"/>
      <c r="E30">
        <f t="shared" si="0"/>
        <v>6585.2248774829941</v>
      </c>
      <c r="F30">
        <f t="shared" si="1"/>
        <v>6585</v>
      </c>
      <c r="G30">
        <f t="shared" si="2"/>
        <v>1.0760499999960302</v>
      </c>
      <c r="K30">
        <f>+G30</f>
        <v>1.0760499999960302</v>
      </c>
      <c r="O30">
        <f t="shared" ca="1" si="4"/>
        <v>0.10086161624413892</v>
      </c>
      <c r="Q30" s="2">
        <f t="shared" si="5"/>
        <v>41694.760300000002</v>
      </c>
    </row>
    <row r="31" spans="1:18" x14ac:dyDescent="0.2">
      <c r="A31" s="52" t="s">
        <v>78</v>
      </c>
      <c r="B31" s="54" t="s">
        <v>85</v>
      </c>
      <c r="C31" s="53">
        <v>56730.358999999997</v>
      </c>
      <c r="D31" s="8"/>
      <c r="E31">
        <f t="shared" si="0"/>
        <v>6588.7982361730801</v>
      </c>
      <c r="F31">
        <f t="shared" si="1"/>
        <v>6589</v>
      </c>
      <c r="G31">
        <f t="shared" si="2"/>
        <v>-0.96545000000332948</v>
      </c>
      <c r="K31">
        <f>+G31</f>
        <v>-0.96545000000332948</v>
      </c>
      <c r="O31">
        <f t="shared" ca="1" si="4"/>
        <v>0.10090712419402816</v>
      </c>
      <c r="Q31" s="2">
        <f t="shared" si="5"/>
        <v>41711.858999999997</v>
      </c>
    </row>
    <row r="32" spans="1:18" x14ac:dyDescent="0.2">
      <c r="B32" s="3"/>
      <c r="C32" s="8"/>
      <c r="D32" s="8"/>
      <c r="Q32" s="2"/>
    </row>
    <row r="33" spans="2:4" x14ac:dyDescent="0.2">
      <c r="B33" s="3"/>
      <c r="C33" s="8"/>
      <c r="D33" s="8"/>
    </row>
    <row r="34" spans="2:4" x14ac:dyDescent="0.2">
      <c r="C34" s="8"/>
      <c r="D34" s="8"/>
    </row>
    <row r="35" spans="2:4" x14ac:dyDescent="0.2">
      <c r="C35" s="8"/>
      <c r="D35" s="8"/>
    </row>
    <row r="36" spans="2:4" x14ac:dyDescent="0.2">
      <c r="C36" s="8"/>
      <c r="D36" s="8"/>
    </row>
    <row r="37" spans="2:4" x14ac:dyDescent="0.2">
      <c r="C37" s="8"/>
      <c r="D37" s="8"/>
    </row>
    <row r="38" spans="2:4" x14ac:dyDescent="0.2">
      <c r="C38" s="8"/>
      <c r="D38" s="8"/>
    </row>
    <row r="39" spans="2:4" x14ac:dyDescent="0.2">
      <c r="C39" s="8"/>
      <c r="D39" s="8"/>
    </row>
    <row r="40" spans="2:4" x14ac:dyDescent="0.2">
      <c r="C40" s="8"/>
      <c r="D40" s="8"/>
    </row>
    <row r="41" spans="2:4" x14ac:dyDescent="0.2">
      <c r="C41" s="8"/>
      <c r="D41" s="8"/>
    </row>
    <row r="42" spans="2:4" x14ac:dyDescent="0.2">
      <c r="C42" s="8"/>
      <c r="D42" s="8"/>
    </row>
    <row r="43" spans="2:4" x14ac:dyDescent="0.2">
      <c r="C43" s="8"/>
      <c r="D43" s="8"/>
    </row>
    <row r="44" spans="2:4" x14ac:dyDescent="0.2">
      <c r="C44" s="8"/>
      <c r="D44" s="8"/>
    </row>
    <row r="45" spans="2:4" x14ac:dyDescent="0.2">
      <c r="C45" s="8"/>
      <c r="D45" s="8"/>
    </row>
    <row r="46" spans="2:4" x14ac:dyDescent="0.2">
      <c r="C46" s="8"/>
      <c r="D46" s="8"/>
    </row>
    <row r="47" spans="2:4" x14ac:dyDescent="0.2">
      <c r="C47" s="8"/>
      <c r="D47" s="8"/>
    </row>
    <row r="48" spans="2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7"/>
  <sheetViews>
    <sheetView workbookViewId="0">
      <selection activeCell="A11" sqref="A11:C20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41</v>
      </c>
      <c r="I1" s="37" t="s">
        <v>42</v>
      </c>
      <c r="J1" s="38" t="s">
        <v>40</v>
      </c>
    </row>
    <row r="2" spans="1:16" x14ac:dyDescent="0.2">
      <c r="I2" s="39" t="s">
        <v>43</v>
      </c>
      <c r="J2" s="40" t="s">
        <v>39</v>
      </c>
    </row>
    <row r="3" spans="1:16" x14ac:dyDescent="0.2">
      <c r="A3" s="41" t="s">
        <v>44</v>
      </c>
      <c r="I3" s="39" t="s">
        <v>45</v>
      </c>
      <c r="J3" s="40" t="s">
        <v>37</v>
      </c>
    </row>
    <row r="4" spans="1:16" x14ac:dyDescent="0.2">
      <c r="I4" s="39" t="s">
        <v>46</v>
      </c>
      <c r="J4" s="40" t="s">
        <v>37</v>
      </c>
    </row>
    <row r="5" spans="1:16" ht="13.5" thickBot="1" x14ac:dyDescent="0.25">
      <c r="I5" s="42" t="s">
        <v>47</v>
      </c>
      <c r="J5" s="43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0" si="0">P11</f>
        <v> AN 238.22 </v>
      </c>
      <c r="B11" s="3" t="str">
        <f t="shared" ref="B11:B20" si="1">IF(H11=INT(H11),"I","II")</f>
        <v>I</v>
      </c>
      <c r="C11" s="8">
        <f t="shared" ref="C11:C20" si="2">1*G11</f>
        <v>25202.61</v>
      </c>
      <c r="D11" s="10" t="str">
        <f t="shared" ref="D11:D20" si="3">VLOOKUP(F11,I$1:J$5,2,FALSE)</f>
        <v>vis</v>
      </c>
      <c r="E11" s="44">
        <f>VLOOKUP(C11,Active!C$21:E$967,3,FALSE)</f>
        <v>-1.1696385232399313E-2</v>
      </c>
      <c r="F11" s="3" t="s">
        <v>47</v>
      </c>
      <c r="G11" s="10" t="str">
        <f t="shared" ref="G11:G20" si="4">MID(I11,3,LEN(I11)-3)</f>
        <v>25202.61</v>
      </c>
      <c r="H11" s="8">
        <f t="shared" ref="H11:H20" si="5">1*K11</f>
        <v>0</v>
      </c>
      <c r="I11" s="45" t="s">
        <v>52</v>
      </c>
      <c r="J11" s="46" t="s">
        <v>53</v>
      </c>
      <c r="K11" s="45">
        <v>0</v>
      </c>
      <c r="L11" s="45" t="s">
        <v>54</v>
      </c>
      <c r="M11" s="46" t="s">
        <v>55</v>
      </c>
      <c r="N11" s="46"/>
      <c r="O11" s="47" t="s">
        <v>56</v>
      </c>
      <c r="P11" s="47" t="s">
        <v>57</v>
      </c>
    </row>
    <row r="12" spans="1:16" ht="12.75" customHeight="1" thickBot="1" x14ac:dyDescent="0.25">
      <c r="A12" s="8" t="str">
        <f t="shared" si="0"/>
        <v> AN 238.22 </v>
      </c>
      <c r="B12" s="3" t="str">
        <f t="shared" si="1"/>
        <v>I</v>
      </c>
      <c r="C12" s="8">
        <f t="shared" si="2"/>
        <v>25245.49</v>
      </c>
      <c r="D12" s="10" t="str">
        <f t="shared" si="3"/>
        <v>vis</v>
      </c>
      <c r="E12" s="44">
        <f>VLOOKUP(C12,Active!C$21:E$967,3,FALSE)</f>
        <v>25.065353552484947</v>
      </c>
      <c r="F12" s="3" t="s">
        <v>47</v>
      </c>
      <c r="G12" s="10" t="str">
        <f t="shared" si="4"/>
        <v>25245.49</v>
      </c>
      <c r="H12" s="8">
        <f t="shared" si="5"/>
        <v>9</v>
      </c>
      <c r="I12" s="45" t="s">
        <v>58</v>
      </c>
      <c r="J12" s="46" t="s">
        <v>59</v>
      </c>
      <c r="K12" s="45">
        <v>9</v>
      </c>
      <c r="L12" s="45" t="s">
        <v>60</v>
      </c>
      <c r="M12" s="46" t="s">
        <v>55</v>
      </c>
      <c r="N12" s="46"/>
      <c r="O12" s="47" t="s">
        <v>56</v>
      </c>
      <c r="P12" s="47" t="s">
        <v>57</v>
      </c>
    </row>
    <row r="13" spans="1:16" ht="12.75" customHeight="1" thickBot="1" x14ac:dyDescent="0.25">
      <c r="A13" s="8" t="str">
        <f t="shared" si="0"/>
        <v> AN 238.22 </v>
      </c>
      <c r="B13" s="3" t="str">
        <f t="shared" si="1"/>
        <v>I</v>
      </c>
      <c r="C13" s="8">
        <f t="shared" si="2"/>
        <v>25298.47</v>
      </c>
      <c r="D13" s="10" t="str">
        <f t="shared" si="3"/>
        <v>vis</v>
      </c>
      <c r="E13" s="44">
        <f>VLOOKUP(C13,Active!C$21:E$967,3,FALSE)</f>
        <v>56.04907803243416</v>
      </c>
      <c r="F13" s="3" t="s">
        <v>47</v>
      </c>
      <c r="G13" s="10" t="str">
        <f t="shared" si="4"/>
        <v>25298.47</v>
      </c>
      <c r="H13" s="8">
        <f t="shared" si="5"/>
        <v>20</v>
      </c>
      <c r="I13" s="45" t="s">
        <v>61</v>
      </c>
      <c r="J13" s="46" t="s">
        <v>62</v>
      </c>
      <c r="K13" s="45">
        <v>20</v>
      </c>
      <c r="L13" s="45" t="s">
        <v>63</v>
      </c>
      <c r="M13" s="46" t="s">
        <v>55</v>
      </c>
      <c r="N13" s="46"/>
      <c r="O13" s="47" t="s">
        <v>56</v>
      </c>
      <c r="P13" s="47" t="s">
        <v>57</v>
      </c>
    </row>
    <row r="14" spans="1:16" ht="12.75" customHeight="1" thickBot="1" x14ac:dyDescent="0.25">
      <c r="A14" s="8" t="str">
        <f t="shared" si="0"/>
        <v> AN 238.22 </v>
      </c>
      <c r="B14" s="3" t="str">
        <f t="shared" si="1"/>
        <v>I</v>
      </c>
      <c r="C14" s="8">
        <f t="shared" si="2"/>
        <v>25322.33</v>
      </c>
      <c r="D14" s="10" t="str">
        <f t="shared" si="3"/>
        <v>vis</v>
      </c>
      <c r="E14" s="44">
        <f>VLOOKUP(C14,Active!C$21:E$967,3,FALSE)</f>
        <v>70.002865614382301</v>
      </c>
      <c r="F14" s="3" t="s">
        <v>47</v>
      </c>
      <c r="G14" s="10" t="str">
        <f t="shared" si="4"/>
        <v>25322.33</v>
      </c>
      <c r="H14" s="8">
        <f t="shared" si="5"/>
        <v>25</v>
      </c>
      <c r="I14" s="45" t="s">
        <v>64</v>
      </c>
      <c r="J14" s="46" t="s">
        <v>65</v>
      </c>
      <c r="K14" s="45">
        <v>25</v>
      </c>
      <c r="L14" s="45" t="s">
        <v>66</v>
      </c>
      <c r="M14" s="46" t="s">
        <v>55</v>
      </c>
      <c r="N14" s="46"/>
      <c r="O14" s="47" t="s">
        <v>56</v>
      </c>
      <c r="P14" s="47" t="s">
        <v>57</v>
      </c>
    </row>
    <row r="15" spans="1:16" ht="12.75" customHeight="1" thickBot="1" x14ac:dyDescent="0.25">
      <c r="A15" s="8" t="str">
        <f t="shared" si="0"/>
        <v> AN 238.22 </v>
      </c>
      <c r="B15" s="3" t="str">
        <f t="shared" si="1"/>
        <v>I</v>
      </c>
      <c r="C15" s="8">
        <f t="shared" si="2"/>
        <v>25322.33</v>
      </c>
      <c r="D15" s="10" t="str">
        <f t="shared" si="3"/>
        <v>vis</v>
      </c>
      <c r="E15" s="44">
        <f>VLOOKUP(C15,Active!C$21:E$967,3,FALSE)</f>
        <v>70.002865614382301</v>
      </c>
      <c r="F15" s="3" t="s">
        <v>47</v>
      </c>
      <c r="G15" s="10" t="str">
        <f t="shared" si="4"/>
        <v>25322.33</v>
      </c>
      <c r="H15" s="8">
        <f t="shared" si="5"/>
        <v>25</v>
      </c>
      <c r="I15" s="45" t="s">
        <v>64</v>
      </c>
      <c r="J15" s="46" t="s">
        <v>65</v>
      </c>
      <c r="K15" s="45">
        <v>25</v>
      </c>
      <c r="L15" s="45" t="s">
        <v>66</v>
      </c>
      <c r="M15" s="46" t="s">
        <v>67</v>
      </c>
      <c r="N15" s="46"/>
      <c r="O15" s="47" t="s">
        <v>56</v>
      </c>
      <c r="P15" s="47" t="s">
        <v>57</v>
      </c>
    </row>
    <row r="16" spans="1:16" ht="12.75" customHeight="1" thickBot="1" x14ac:dyDescent="0.25">
      <c r="A16" s="8" t="str">
        <f t="shared" si="0"/>
        <v> AN 238.22 </v>
      </c>
      <c r="B16" s="3" t="str">
        <f t="shared" si="1"/>
        <v>I</v>
      </c>
      <c r="C16" s="8">
        <f t="shared" si="2"/>
        <v>25346.35</v>
      </c>
      <c r="D16" s="10" t="str">
        <f t="shared" si="3"/>
        <v>vis</v>
      </c>
      <c r="E16" s="44">
        <f>VLOOKUP(C16,Active!C$21:E$967,3,FALSE)</f>
        <v>84.050224278185382</v>
      </c>
      <c r="F16" s="3" t="s">
        <v>47</v>
      </c>
      <c r="G16" s="10" t="str">
        <f t="shared" si="4"/>
        <v>25346.35</v>
      </c>
      <c r="H16" s="8">
        <f t="shared" si="5"/>
        <v>30</v>
      </c>
      <c r="I16" s="45" t="s">
        <v>68</v>
      </c>
      <c r="J16" s="46" t="s">
        <v>69</v>
      </c>
      <c r="K16" s="45">
        <v>30</v>
      </c>
      <c r="L16" s="45" t="s">
        <v>70</v>
      </c>
      <c r="M16" s="46" t="s">
        <v>67</v>
      </c>
      <c r="N16" s="46"/>
      <c r="O16" s="47" t="s">
        <v>56</v>
      </c>
      <c r="P16" s="47" t="s">
        <v>57</v>
      </c>
    </row>
    <row r="17" spans="1:16" ht="12.75" customHeight="1" thickBot="1" x14ac:dyDescent="0.25">
      <c r="A17" s="8" t="str">
        <f t="shared" si="0"/>
        <v> AN 238.22 </v>
      </c>
      <c r="B17" s="3" t="str">
        <f t="shared" si="1"/>
        <v>I</v>
      </c>
      <c r="C17" s="8">
        <f t="shared" si="2"/>
        <v>25676.33</v>
      </c>
      <c r="D17" s="10" t="str">
        <f t="shared" si="3"/>
        <v>vis</v>
      </c>
      <c r="E17" s="44">
        <f>VLOOKUP(C17,Active!C$21:E$967,3,FALSE)</f>
        <v>277.0288842233312</v>
      </c>
      <c r="F17" s="3" t="s">
        <v>47</v>
      </c>
      <c r="G17" s="10" t="str">
        <f t="shared" si="4"/>
        <v>25676.33</v>
      </c>
      <c r="H17" s="8">
        <f t="shared" si="5"/>
        <v>99</v>
      </c>
      <c r="I17" s="45" t="s">
        <v>71</v>
      </c>
      <c r="J17" s="46" t="s">
        <v>72</v>
      </c>
      <c r="K17" s="45">
        <v>99</v>
      </c>
      <c r="L17" s="45" t="s">
        <v>54</v>
      </c>
      <c r="M17" s="46" t="s">
        <v>55</v>
      </c>
      <c r="N17" s="46"/>
      <c r="O17" s="47" t="s">
        <v>56</v>
      </c>
      <c r="P17" s="47" t="s">
        <v>57</v>
      </c>
    </row>
    <row r="18" spans="1:16" ht="12.75" customHeight="1" thickBot="1" x14ac:dyDescent="0.25">
      <c r="A18" s="8" t="str">
        <f t="shared" si="0"/>
        <v>VSB 59 </v>
      </c>
      <c r="B18" s="3" t="str">
        <f t="shared" si="1"/>
        <v>I</v>
      </c>
      <c r="C18" s="8">
        <f t="shared" si="2"/>
        <v>56712.376600000003</v>
      </c>
      <c r="D18" s="10" t="str">
        <f t="shared" si="3"/>
        <v>vis</v>
      </c>
      <c r="E18" s="44">
        <f>VLOOKUP(C18,Active!C$21:E$967,3,FALSE)</f>
        <v>18427.50674004199</v>
      </c>
      <c r="F18" s="3" t="s">
        <v>47</v>
      </c>
      <c r="G18" s="10" t="str">
        <f t="shared" si="4"/>
        <v>56712.3766</v>
      </c>
      <c r="H18" s="8">
        <f t="shared" si="5"/>
        <v>6582</v>
      </c>
      <c r="I18" s="45" t="s">
        <v>73</v>
      </c>
      <c r="J18" s="46" t="s">
        <v>74</v>
      </c>
      <c r="K18" s="45">
        <v>6582</v>
      </c>
      <c r="L18" s="45" t="s">
        <v>75</v>
      </c>
      <c r="M18" s="46" t="s">
        <v>76</v>
      </c>
      <c r="N18" s="46" t="s">
        <v>47</v>
      </c>
      <c r="O18" s="47" t="s">
        <v>77</v>
      </c>
      <c r="P18" s="48" t="s">
        <v>78</v>
      </c>
    </row>
    <row r="19" spans="1:16" ht="12.75" customHeight="1" thickBot="1" x14ac:dyDescent="0.25">
      <c r="A19" s="8" t="str">
        <f t="shared" si="0"/>
        <v>VSB 59 </v>
      </c>
      <c r="B19" s="3" t="str">
        <f t="shared" si="1"/>
        <v>II</v>
      </c>
      <c r="C19" s="8">
        <f t="shared" si="2"/>
        <v>56713.260300000002</v>
      </c>
      <c r="D19" s="10" t="str">
        <f t="shared" si="3"/>
        <v>vis</v>
      </c>
      <c r="E19" s="44">
        <f>VLOOKUP(C19,Active!C$21:E$967,3,FALSE)</f>
        <v>18428.023544823474</v>
      </c>
      <c r="F19" s="3" t="s">
        <v>47</v>
      </c>
      <c r="G19" s="10" t="str">
        <f t="shared" si="4"/>
        <v>56713.2603</v>
      </c>
      <c r="H19" s="8">
        <f t="shared" si="5"/>
        <v>6582.5</v>
      </c>
      <c r="I19" s="45" t="s">
        <v>79</v>
      </c>
      <c r="J19" s="46" t="s">
        <v>80</v>
      </c>
      <c r="K19" s="45">
        <v>6582.5</v>
      </c>
      <c r="L19" s="45" t="s">
        <v>81</v>
      </c>
      <c r="M19" s="46" t="s">
        <v>76</v>
      </c>
      <c r="N19" s="46" t="s">
        <v>47</v>
      </c>
      <c r="O19" s="47" t="s">
        <v>77</v>
      </c>
      <c r="P19" s="48" t="s">
        <v>78</v>
      </c>
    </row>
    <row r="20" spans="1:16" ht="12.75" customHeight="1" thickBot="1" x14ac:dyDescent="0.25">
      <c r="A20" s="8" t="str">
        <f t="shared" si="0"/>
        <v>VSB 59 </v>
      </c>
      <c r="B20" s="3" t="str">
        <f t="shared" si="1"/>
        <v>I</v>
      </c>
      <c r="C20" s="8">
        <f t="shared" si="2"/>
        <v>56730.358999999997</v>
      </c>
      <c r="D20" s="10" t="str">
        <f t="shared" si="3"/>
        <v>vis</v>
      </c>
      <c r="E20" s="44">
        <f>VLOOKUP(C20,Active!C$21:E$967,3,FALSE)</f>
        <v>18438.023193931913</v>
      </c>
      <c r="F20" s="3" t="s">
        <v>47</v>
      </c>
      <c r="G20" s="10" t="str">
        <f t="shared" si="4"/>
        <v>56730.3590</v>
      </c>
      <c r="H20" s="8">
        <f t="shared" si="5"/>
        <v>6586</v>
      </c>
      <c r="I20" s="45" t="s">
        <v>82</v>
      </c>
      <c r="J20" s="46" t="s">
        <v>83</v>
      </c>
      <c r="K20" s="45">
        <v>6586</v>
      </c>
      <c r="L20" s="45" t="s">
        <v>84</v>
      </c>
      <c r="M20" s="46" t="s">
        <v>76</v>
      </c>
      <c r="N20" s="46" t="s">
        <v>47</v>
      </c>
      <c r="O20" s="47" t="s">
        <v>77</v>
      </c>
      <c r="P20" s="48" t="s">
        <v>78</v>
      </c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</sheetData>
  <phoneticPr fontId="7" type="noConversion"/>
  <hyperlinks>
    <hyperlink ref="A3" r:id="rId1"/>
    <hyperlink ref="P18" r:id="rId2" display="http://vsolj.cetus-net.org/vsoljno59.pdf"/>
    <hyperlink ref="P19" r:id="rId3" display="http://vsolj.cetus-net.org/vsoljno59.pdf"/>
    <hyperlink ref="P20" r:id="rId4" display="http://vsolj.cetus-net.org/vsoljno59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2024-02-28T05:45:44Z</dcterms:modified>
</cp:coreProperties>
</file>