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8A5DB51-54F1-4D9F-980A-3F83CA0F215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I26" i="1"/>
  <c r="Q26" i="1"/>
  <c r="E22" i="1"/>
  <c r="F22" i="1"/>
  <c r="G22" i="1"/>
  <c r="K22" i="1"/>
  <c r="C21" i="1"/>
  <c r="E21" i="1"/>
  <c r="F21" i="1"/>
  <c r="G21" i="1"/>
  <c r="H21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G14" i="2"/>
  <c r="C14" i="2"/>
  <c r="E14" i="2"/>
  <c r="G13" i="2"/>
  <c r="C13" i="2"/>
  <c r="E13" i="2"/>
  <c r="G12" i="2"/>
  <c r="C12" i="2"/>
  <c r="E12" i="2"/>
  <c r="G15" i="2"/>
  <c r="C15" i="2"/>
  <c r="E15" i="2"/>
  <c r="G11" i="2"/>
  <c r="C11" i="2"/>
  <c r="E11" i="2"/>
  <c r="H14" i="2"/>
  <c r="D14" i="2"/>
  <c r="B14" i="2"/>
  <c r="A14" i="2"/>
  <c r="H13" i="2"/>
  <c r="B13" i="2"/>
  <c r="D13" i="2"/>
  <c r="A13" i="2"/>
  <c r="H12" i="2"/>
  <c r="D12" i="2"/>
  <c r="B12" i="2"/>
  <c r="A12" i="2"/>
  <c r="H15" i="2"/>
  <c r="B15" i="2"/>
  <c r="D15" i="2"/>
  <c r="A15" i="2"/>
  <c r="H11" i="2"/>
  <c r="D11" i="2"/>
  <c r="B11" i="2"/>
  <c r="A11" i="2"/>
  <c r="F11" i="1"/>
  <c r="Q24" i="1"/>
  <c r="Q25" i="1"/>
  <c r="Q23" i="1"/>
  <c r="G11" i="1"/>
  <c r="E14" i="1"/>
  <c r="E15" i="1" s="1"/>
  <c r="C17" i="1"/>
  <c r="Q21" i="1"/>
  <c r="C11" i="1"/>
  <c r="C12" i="1" l="1"/>
  <c r="C16" i="1" l="1"/>
  <c r="D18" i="1" s="1"/>
  <c r="O21" i="1"/>
  <c r="O25" i="1"/>
  <c r="O23" i="1"/>
  <c r="O22" i="1"/>
  <c r="C15" i="1"/>
  <c r="O24" i="1"/>
  <c r="O26" i="1"/>
  <c r="C18" i="1" l="1"/>
  <c r="E16" i="1"/>
  <c r="E17" i="1" s="1"/>
</calcChain>
</file>

<file path=xl/sharedStrings.xml><?xml version="1.0" encoding="utf-8"?>
<sst xmlns="http://schemas.openxmlformats.org/spreadsheetml/2006/main" count="112" uniqueCount="85">
  <si>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</si>
  <si>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</si>
  <si>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</si>
  <si>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</si>
  <si>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</si>
  <si>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</si>
  <si>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</si>
  <si>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</si>
  <si>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</si>
  <si>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</si>
  <si>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</si>
  <si>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</si>
  <si>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</si>
  <si>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</si>
  <si>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</si>
  <si>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</si>
  <si>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</si>
  <si>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</si>
  <si>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</si>
  <si>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</si>
  <si>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</si>
  <si>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</si>
  <si>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</si>
  <si>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</si>
  <si>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</si>
  <si>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</si>
  <si>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</si>
  <si>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</si>
  <si>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</si>
  <si>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</si>
  <si>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</si>
  <si>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</si>
  <si>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</si>
  <si>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</si>
  <si>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</si>
  <si>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</si>
  <si>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</si>
  <si>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</si>
  <si>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</si>
  <si>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</si>
  <si>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DW Ori / GSC 0729-1236</t>
  </si>
  <si>
    <t>EA</t>
  </si>
  <si>
    <t>IBVS 5960</t>
  </si>
  <si>
    <t>I</t>
  </si>
  <si>
    <t>OEJV 0160</t>
  </si>
  <si>
    <t>IBVS 6063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</si>
  <si>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</si>
  <si>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</si>
  <si>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</si>
  <si>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</si>
  <si>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</si>
  <si>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</si>
  <si>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</si>
  <si>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</si>
  <si>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</si>
  <si>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</si>
  <si>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</si>
  <si>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2451177.303 </t>
  </si>
  <si>
    <t> 29.12.1998 19:16 </t>
  </si>
  <si>
    <t> -0.002 </t>
  </si>
  <si>
    <t>E </t>
  </si>
  <si>
    <t>?</t>
  </si>
  <si>
    <t> R.Diethelm </t>
  </si>
  <si>
    <t> BBS 119 </t>
  </si>
  <si>
    <t>2452296.504 </t>
  </si>
  <si>
    <t> 22.01.2002 00:05 </t>
  </si>
  <si>
    <t> -0.004 </t>
  </si>
  <si>
    <t> BBS 127 </t>
  </si>
  <si>
    <t>2455523.9565 </t>
  </si>
  <si>
    <t> 23.11.2010 10:57 </t>
  </si>
  <si>
    <t> 0.0022 </t>
  </si>
  <si>
    <t>C </t>
  </si>
  <si>
    <t>IBVS 5960 </t>
  </si>
  <si>
    <t>2455992.35168 </t>
  </si>
  <si>
    <t> 05.03.2012 20:26 </t>
  </si>
  <si>
    <t> 0.00050 </t>
  </si>
  <si>
    <t> J.Trnka </t>
  </si>
  <si>
    <t>OEJV 0160 </t>
  </si>
  <si>
    <t>2456329.6732 </t>
  </si>
  <si>
    <t> 06.02.2013 04:09 </t>
  </si>
  <si>
    <t> 0.0030 </t>
  </si>
  <si>
    <t>IBVS 6063 </t>
  </si>
  <si>
    <t>JAVSO 49, 106</t>
  </si>
  <si>
    <t>S3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</si>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</sst>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DW Ori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6.9999999999999994E-5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6.9999999999999994E-5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</c:v>
                </c:pt>
                <c:pt idx="2">
                  <c:v>4742</c:v>
                </c:pt>
                <c:pt idx="3">
                  <c:v>5253</c:v>
                </c:pt>
                <c:pt idx="4">
                  <c:v>5621</c:v>
                </c:pt>
                <c:pt idx="5">
                  <c:v>7600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A7-49BC-866C-148DF8CDB8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6.9999999999999994E-5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6.9999999999999994E-5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</c:v>
                </c:pt>
                <c:pt idx="2">
                  <c:v>4742</c:v>
                </c:pt>
                <c:pt idx="3">
                  <c:v>5253</c:v>
                </c:pt>
                <c:pt idx="4">
                  <c:v>5621</c:v>
                </c:pt>
                <c:pt idx="5">
                  <c:v>7600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1.0636999999405816E-2</c:v>
                </c:pt>
                <c:pt idx="3">
                  <c:v>9.6754999976838008E-3</c:v>
                </c:pt>
                <c:pt idx="4">
                  <c:v>1.2643499998375773E-2</c:v>
                </c:pt>
                <c:pt idx="5">
                  <c:v>1.5792999998666346E-2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A7-49BC-866C-148DF8CDB8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6.9999999999999994E-5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6.9999999999999994E-5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</c:v>
                </c:pt>
                <c:pt idx="2">
                  <c:v>4742</c:v>
                </c:pt>
                <c:pt idx="3">
                  <c:v>5253</c:v>
                </c:pt>
                <c:pt idx="4">
                  <c:v>5621</c:v>
                </c:pt>
                <c:pt idx="5">
                  <c:v>7600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A7-49BC-866C-148DF8CDB8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6.9999999999999994E-5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6.9999999999999994E-5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</c:v>
                </c:pt>
                <c:pt idx="2">
                  <c:v>4742</c:v>
                </c:pt>
                <c:pt idx="3">
                  <c:v>5253</c:v>
                </c:pt>
                <c:pt idx="4">
                  <c:v>5621</c:v>
                </c:pt>
                <c:pt idx="5">
                  <c:v>7600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4.3500003812368959E-5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A7-49BC-866C-148DF8CDB8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6.9999999999999994E-5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6.9999999999999994E-5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</c:v>
                </c:pt>
                <c:pt idx="2">
                  <c:v>4742</c:v>
                </c:pt>
                <c:pt idx="3">
                  <c:v>5253</c:v>
                </c:pt>
                <c:pt idx="4">
                  <c:v>5621</c:v>
                </c:pt>
                <c:pt idx="5">
                  <c:v>7600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A7-49BC-866C-148DF8CDB8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6.9999999999999994E-5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6.9999999999999994E-5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</c:v>
                </c:pt>
                <c:pt idx="2">
                  <c:v>4742</c:v>
                </c:pt>
                <c:pt idx="3">
                  <c:v>5253</c:v>
                </c:pt>
                <c:pt idx="4">
                  <c:v>5621</c:v>
                </c:pt>
                <c:pt idx="5">
                  <c:v>7600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A7-49BC-866C-148DF8CDB8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6.9999999999999994E-5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6.9999999999999994E-5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</c:v>
                </c:pt>
                <c:pt idx="2">
                  <c:v>4742</c:v>
                </c:pt>
                <c:pt idx="3">
                  <c:v>5253</c:v>
                </c:pt>
                <c:pt idx="4">
                  <c:v>5621</c:v>
                </c:pt>
                <c:pt idx="5">
                  <c:v>7600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A7-49BC-866C-148DF8CDB8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</c:v>
                </c:pt>
                <c:pt idx="2">
                  <c:v>4742</c:v>
                </c:pt>
                <c:pt idx="3">
                  <c:v>5253</c:v>
                </c:pt>
                <c:pt idx="4">
                  <c:v>5621</c:v>
                </c:pt>
                <c:pt idx="5">
                  <c:v>7600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-1.0852217144728098E-3</c:v>
                </c:pt>
                <c:pt idx="1">
                  <c:v>1.6780461489194869E-3</c:v>
                </c:pt>
                <c:pt idx="2">
                  <c:v>9.6464868917567319E-3</c:v>
                </c:pt>
                <c:pt idx="3">
                  <c:v>1.0802940518450805E-2</c:v>
                </c:pt>
                <c:pt idx="4">
                  <c:v>1.1635768179161997E-2</c:v>
                </c:pt>
                <c:pt idx="5">
                  <c:v>1.611447997412789E-2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A7-49BC-866C-148DF8CDB88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</c:v>
                </c:pt>
                <c:pt idx="2">
                  <c:v>4742</c:v>
                </c:pt>
                <c:pt idx="3">
                  <c:v>5253</c:v>
                </c:pt>
                <c:pt idx="4">
                  <c:v>5621</c:v>
                </c:pt>
                <c:pt idx="5">
                  <c:v>7600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A7-49BC-866C-148DF8CDB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057208"/>
        <c:axId val="1"/>
      </c:scatterChart>
      <c:valAx>
        <c:axId val="834057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057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C02FDA8-ACEB-EB30-5835-38AC0D411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6063" TargetMode="External"/><Relationship Id="rId2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s="21" customFormat="1" ht="12.95" customHeight="1" x14ac:dyDescent="0.2">
      <c r="A2" s="21" t="s">
        <v>23</v>
      </c>
      <c r="B2" s="21" t="s">
        <v>41</v>
      </c>
      <c r="C2" s="22"/>
      <c r="D2" s="22"/>
    </row>
    <row r="3" spans="1:7" s="21" customFormat="1" ht="12.95" customHeight="1" thickBot="1" x14ac:dyDescent="0.25"/>
    <row r="4" spans="1:7" s="21" customFormat="1" ht="12.95" customHeight="1" thickTop="1" thickBot="1" x14ac:dyDescent="0.25">
      <c r="A4" s="23" t="s">
        <v>0</v>
      </c>
      <c r="C4" s="24" t="s">
        <v>38</v>
      </c>
      <c r="D4" s="25" t="s">
        <v>38</v>
      </c>
    </row>
    <row r="5" spans="1:7" s="21" customFormat="1" ht="12.95" customHeight="1" x14ac:dyDescent="0.2"/>
    <row r="6" spans="1:7" s="21" customFormat="1" ht="12.95" customHeight="1" x14ac:dyDescent="0.2">
      <c r="A6" s="23" t="s">
        <v>1</v>
      </c>
    </row>
    <row r="7" spans="1:7" s="21" customFormat="1" ht="12.95" customHeight="1" x14ac:dyDescent="0.2">
      <c r="A7" s="21" t="s">
        <v>2</v>
      </c>
      <c r="C7" s="54">
        <v>51177.303</v>
      </c>
      <c r="D7" s="27" t="s">
        <v>39</v>
      </c>
    </row>
    <row r="8" spans="1:7" s="21" customFormat="1" ht="12.95" customHeight="1" x14ac:dyDescent="0.2">
      <c r="A8" s="21" t="s">
        <v>3</v>
      </c>
      <c r="C8" s="54">
        <v>0.91662650000000001</v>
      </c>
      <c r="D8" s="27" t="s">
        <v>39</v>
      </c>
    </row>
    <row r="9" spans="1:7" s="21" customFormat="1" ht="12.95" customHeight="1" x14ac:dyDescent="0.2">
      <c r="A9" s="28" t="s">
        <v>28</v>
      </c>
      <c r="C9" s="29">
        <v>-9.5</v>
      </c>
      <c r="D9" s="21" t="s">
        <v>29</v>
      </c>
    </row>
    <row r="10" spans="1:7" s="21" customFormat="1" ht="12.95" customHeight="1" thickBot="1" x14ac:dyDescent="0.25">
      <c r="C10" s="30" t="s">
        <v>19</v>
      </c>
      <c r="D10" s="30" t="s">
        <v>20</v>
      </c>
    </row>
    <row r="11" spans="1:7" s="21" customFormat="1" ht="12.95" customHeight="1" x14ac:dyDescent="0.2">
      <c r="A11" s="21" t="s">
        <v>15</v>
      </c>
      <c r="C11" s="31">
        <f ca="1">INTERCEPT(INDIRECT($G$11):G992,INDIRECT($F$11):F992)</f>
        <v>-1.0852217144728098E-3</v>
      </c>
      <c r="D11" s="22"/>
      <c r="F11" s="32" t="str">
        <f>"F"&amp;E19</f>
        <v>F21</v>
      </c>
      <c r="G11" s="31" t="str">
        <f>"G"&amp;E19</f>
        <v>G21</v>
      </c>
    </row>
    <row r="12" spans="1:7" s="21" customFormat="1" ht="12.95" customHeight="1" x14ac:dyDescent="0.2">
      <c r="A12" s="21" t="s">
        <v>16</v>
      </c>
      <c r="C12" s="31">
        <f ca="1">SLOPE(INDIRECT($G$11):G992,INDIRECT($F$11):F992)</f>
        <v>2.2631186432369341E-6</v>
      </c>
      <c r="D12" s="22"/>
    </row>
    <row r="13" spans="1:7" s="21" customFormat="1" ht="12.95" customHeight="1" x14ac:dyDescent="0.2">
      <c r="A13" s="21" t="s">
        <v>18</v>
      </c>
      <c r="C13" s="22" t="s">
        <v>13</v>
      </c>
      <c r="D13" s="33" t="s">
        <v>35</v>
      </c>
      <c r="E13" s="29">
        <v>1</v>
      </c>
    </row>
    <row r="14" spans="1:7" s="21" customFormat="1" ht="12.95" customHeight="1" x14ac:dyDescent="0.2">
      <c r="D14" s="33" t="s">
        <v>30</v>
      </c>
      <c r="E14" s="34">
        <f ca="1">NOW()+15018.5+$C$9/24</f>
        <v>60368.784615046294</v>
      </c>
    </row>
    <row r="15" spans="1:7" s="21" customFormat="1" ht="12.95" customHeight="1" x14ac:dyDescent="0.2">
      <c r="A15" s="35" t="s">
        <v>17</v>
      </c>
      <c r="C15" s="36">
        <f ca="1">(C7+C11)+(C8+C12)*INT(MAX(F21:F3533))</f>
        <v>58143.680514479973</v>
      </c>
      <c r="D15" s="33" t="s">
        <v>36</v>
      </c>
      <c r="E15" s="34">
        <f ca="1">ROUND(2*(E14-$C$7)/$C$8,0)/2+E13</f>
        <v>10028.5</v>
      </c>
    </row>
    <row r="16" spans="1:7" s="21" customFormat="1" ht="12.95" customHeight="1" x14ac:dyDescent="0.2">
      <c r="A16" s="23" t="s">
        <v>4</v>
      </c>
      <c r="C16" s="37">
        <f ca="1">+C8+C12</f>
        <v>0.91662876311864327</v>
      </c>
      <c r="D16" s="33" t="s">
        <v>37</v>
      </c>
      <c r="E16" s="31">
        <f ca="1">ROUND(2*(E14-$C$15)/$C$16,0)/2+E13</f>
        <v>2428.5</v>
      </c>
    </row>
    <row r="17" spans="1:18" s="21" customFormat="1" ht="12.95" customHeight="1" thickBot="1" x14ac:dyDescent="0.25">
      <c r="A17" s="33" t="s">
        <v>27</v>
      </c>
      <c r="C17" s="21">
        <f>COUNT(C21:C2191)</f>
        <v>6</v>
      </c>
      <c r="D17" s="33" t="s">
        <v>31</v>
      </c>
      <c r="E17" s="38">
        <f ca="1">+$C$15+$C$16*E16-15018.5-$C$9/24</f>
        <v>45351.609299046933</v>
      </c>
    </row>
    <row r="18" spans="1:18" s="21" customFormat="1" ht="12.95" customHeight="1" thickTop="1" thickBot="1" x14ac:dyDescent="0.25">
      <c r="A18" s="23" t="s">
        <v>5</v>
      </c>
      <c r="C18" s="39">
        <f ca="1">+C15</f>
        <v>58143.680514479973</v>
      </c>
      <c r="D18" s="40">
        <f ca="1">+C16</f>
        <v>0.91662876311864327</v>
      </c>
      <c r="E18" s="41" t="s">
        <v>32</v>
      </c>
    </row>
    <row r="19" spans="1:18" s="21" customFormat="1" ht="12.95" customHeight="1" thickTop="1" x14ac:dyDescent="0.2">
      <c r="A19" s="42" t="s">
        <v>33</v>
      </c>
      <c r="E19" s="43">
        <v>21</v>
      </c>
    </row>
    <row r="20" spans="1:18" s="21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4" t="s">
        <v>39</v>
      </c>
      <c r="I20" s="44" t="s">
        <v>48</v>
      </c>
      <c r="J20" s="44" t="s">
        <v>83</v>
      </c>
      <c r="K20" s="44" t="s">
        <v>84</v>
      </c>
      <c r="L20" s="44" t="s">
        <v>24</v>
      </c>
      <c r="M20" s="44" t="s">
        <v>25</v>
      </c>
      <c r="N20" s="44" t="s">
        <v>26</v>
      </c>
      <c r="O20" s="44" t="s">
        <v>22</v>
      </c>
      <c r="P20" s="45" t="s">
        <v>21</v>
      </c>
      <c r="Q20" s="30" t="s">
        <v>14</v>
      </c>
      <c r="R20" s="46" t="s">
        <v>34</v>
      </c>
    </row>
    <row r="21" spans="1:18" s="21" customFormat="1" ht="12.95" customHeight="1" x14ac:dyDescent="0.2">
      <c r="A21" s="21" t="s">
        <v>39</v>
      </c>
      <c r="C21" s="26">
        <f>C7</f>
        <v>51177.303</v>
      </c>
      <c r="D21" s="26" t="s">
        <v>13</v>
      </c>
      <c r="E21" s="21">
        <f t="shared" ref="E21:E26" si="0">+(C21-C$7)/C$8</f>
        <v>0</v>
      </c>
      <c r="F21" s="21">
        <f t="shared" ref="F21:F26" si="1">ROUND(2*E21,0)/2</f>
        <v>0</v>
      </c>
      <c r="G21" s="21">
        <f t="shared" ref="G21:G26" si="2">+C21-(C$7+F21*C$8)</f>
        <v>0</v>
      </c>
      <c r="H21" s="21">
        <f>+G21</f>
        <v>0</v>
      </c>
      <c r="O21" s="21">
        <f t="shared" ref="O21:O26" ca="1" si="3">+C$11+C$12*$F21</f>
        <v>-1.0852217144728098E-3</v>
      </c>
      <c r="Q21" s="47">
        <f t="shared" ref="Q21:Q26" si="4">+C21-15018.5</f>
        <v>36158.803</v>
      </c>
    </row>
    <row r="22" spans="1:18" s="21" customFormat="1" ht="12.95" customHeight="1" x14ac:dyDescent="0.2">
      <c r="A22" s="48" t="s">
        <v>67</v>
      </c>
      <c r="B22" s="49" t="s">
        <v>43</v>
      </c>
      <c r="C22" s="50">
        <v>52296.504000000001</v>
      </c>
      <c r="D22" s="26"/>
      <c r="E22" s="21">
        <f t="shared" si="0"/>
        <v>1221.0000474566259</v>
      </c>
      <c r="F22" s="21">
        <f t="shared" si="1"/>
        <v>1221</v>
      </c>
      <c r="G22" s="21">
        <f t="shared" si="2"/>
        <v>4.3500003812368959E-5</v>
      </c>
      <c r="K22" s="21">
        <f>+G22</f>
        <v>4.3500003812368959E-5</v>
      </c>
      <c r="O22" s="21">
        <f t="shared" ca="1" si="3"/>
        <v>1.6780461489194869E-3</v>
      </c>
      <c r="Q22" s="47">
        <f t="shared" si="4"/>
        <v>37278.004000000001</v>
      </c>
    </row>
    <row r="23" spans="1:18" s="21" customFormat="1" ht="12.95" customHeight="1" x14ac:dyDescent="0.2">
      <c r="A23" s="6" t="s">
        <v>42</v>
      </c>
      <c r="B23" s="7" t="s">
        <v>43</v>
      </c>
      <c r="C23" s="6">
        <v>55523.9565</v>
      </c>
      <c r="D23" s="6">
        <v>5.9999999999999995E-4</v>
      </c>
      <c r="E23" s="21">
        <f t="shared" si="0"/>
        <v>4742.0116045084887</v>
      </c>
      <c r="F23" s="21">
        <f t="shared" si="1"/>
        <v>4742</v>
      </c>
      <c r="G23" s="21">
        <f t="shared" si="2"/>
        <v>1.0636999999405816E-2</v>
      </c>
      <c r="I23" s="21">
        <f>+G23</f>
        <v>1.0636999999405816E-2</v>
      </c>
      <c r="O23" s="21">
        <f t="shared" ca="1" si="3"/>
        <v>9.6464868917567319E-3</v>
      </c>
      <c r="Q23" s="47">
        <f t="shared" si="4"/>
        <v>40505.4565</v>
      </c>
    </row>
    <row r="24" spans="1:18" s="21" customFormat="1" ht="12.95" customHeight="1" x14ac:dyDescent="0.2">
      <c r="A24" s="51" t="s">
        <v>44</v>
      </c>
      <c r="B24" s="52" t="s">
        <v>43</v>
      </c>
      <c r="C24" s="53">
        <v>55992.35168</v>
      </c>
      <c r="D24" s="53">
        <v>1E-4</v>
      </c>
      <c r="E24" s="21">
        <f t="shared" si="0"/>
        <v>5253.0105555534337</v>
      </c>
      <c r="F24" s="21">
        <f t="shared" si="1"/>
        <v>5253</v>
      </c>
      <c r="G24" s="21">
        <f t="shared" si="2"/>
        <v>9.6754999976838008E-3</v>
      </c>
      <c r="I24" s="21">
        <f>+G24</f>
        <v>9.6754999976838008E-3</v>
      </c>
      <c r="O24" s="21">
        <f t="shared" ca="1" si="3"/>
        <v>1.0802940518450805E-2</v>
      </c>
      <c r="Q24" s="47">
        <f t="shared" si="4"/>
        <v>40973.85168</v>
      </c>
    </row>
    <row r="25" spans="1:18" s="21" customFormat="1" ht="12.95" customHeight="1" x14ac:dyDescent="0.2">
      <c r="A25" s="51" t="s">
        <v>45</v>
      </c>
      <c r="B25" s="52" t="s">
        <v>43</v>
      </c>
      <c r="C25" s="53">
        <v>56329.673199999997</v>
      </c>
      <c r="D25" s="53">
        <v>4.0000000000000002E-4</v>
      </c>
      <c r="E25" s="21">
        <f t="shared" si="0"/>
        <v>5621.0137935134944</v>
      </c>
      <c r="F25" s="21">
        <f t="shared" si="1"/>
        <v>5621</v>
      </c>
      <c r="G25" s="21">
        <f t="shared" si="2"/>
        <v>1.2643499998375773E-2</v>
      </c>
      <c r="I25" s="21">
        <f>+G25</f>
        <v>1.2643499998375773E-2</v>
      </c>
      <c r="O25" s="21">
        <f t="shared" ca="1" si="3"/>
        <v>1.1635768179161997E-2</v>
      </c>
      <c r="Q25" s="47">
        <f t="shared" si="4"/>
        <v>41311.173199999997</v>
      </c>
    </row>
    <row r="26" spans="1:18" s="21" customFormat="1" ht="12.95" customHeight="1" x14ac:dyDescent="0.2">
      <c r="A26" s="51" t="s">
        <v>82</v>
      </c>
      <c r="B26" s="52" t="s">
        <v>43</v>
      </c>
      <c r="C26" s="53">
        <v>58143.680193</v>
      </c>
      <c r="D26" s="53">
        <v>6.9999999999999994E-5</v>
      </c>
      <c r="E26" s="21">
        <f t="shared" si="0"/>
        <v>7600.0172294822378</v>
      </c>
      <c r="F26" s="21">
        <f t="shared" si="1"/>
        <v>7600</v>
      </c>
      <c r="G26" s="21">
        <f t="shared" si="2"/>
        <v>1.5792999998666346E-2</v>
      </c>
      <c r="I26" s="21">
        <f>+G26</f>
        <v>1.5792999998666346E-2</v>
      </c>
      <c r="O26" s="21">
        <f t="shared" ca="1" si="3"/>
        <v>1.611447997412789E-2</v>
      </c>
      <c r="Q26" s="47">
        <f t="shared" si="4"/>
        <v>43125.180193</v>
      </c>
    </row>
    <row r="27" spans="1:18" s="21" customFormat="1" ht="12.95" customHeight="1" x14ac:dyDescent="0.2">
      <c r="C27" s="26"/>
      <c r="D27" s="26"/>
      <c r="Q27" s="47"/>
    </row>
    <row r="28" spans="1:18" s="21" customFormat="1" ht="12.95" customHeight="1" x14ac:dyDescent="0.2">
      <c r="C28" s="26"/>
      <c r="D28" s="26"/>
      <c r="Q28" s="47"/>
    </row>
    <row r="29" spans="1:18" s="21" customFormat="1" ht="12.95" customHeight="1" x14ac:dyDescent="0.2">
      <c r="C29" s="26"/>
      <c r="D29" s="26"/>
      <c r="Q29" s="47"/>
    </row>
    <row r="30" spans="1:18" s="21" customFormat="1" ht="12.95" customHeight="1" x14ac:dyDescent="0.2">
      <c r="C30" s="26"/>
      <c r="D30" s="26"/>
      <c r="Q30" s="47"/>
    </row>
    <row r="31" spans="1:18" s="21" customFormat="1" ht="12.95" customHeight="1" x14ac:dyDescent="0.2">
      <c r="C31" s="26"/>
      <c r="D31" s="26"/>
      <c r="Q31" s="47"/>
    </row>
    <row r="32" spans="1:18" x14ac:dyDescent="0.2">
      <c r="C32" s="4"/>
      <c r="D32" s="4"/>
      <c r="Q32" s="2"/>
    </row>
    <row r="33" spans="3:17" x14ac:dyDescent="0.2">
      <c r="C33" s="4"/>
      <c r="D33" s="4"/>
      <c r="Q33" s="2"/>
    </row>
    <row r="34" spans="3:17" x14ac:dyDescent="0.2">
      <c r="C34" s="4"/>
      <c r="D34" s="4"/>
    </row>
    <row r="35" spans="3:17" x14ac:dyDescent="0.2">
      <c r="C35" s="4"/>
      <c r="D35" s="4"/>
    </row>
    <row r="36" spans="3:17" x14ac:dyDescent="0.2">
      <c r="C36" s="4"/>
      <c r="D36" s="4"/>
    </row>
    <row r="37" spans="3:17" x14ac:dyDescent="0.2">
      <c r="C37" s="4"/>
      <c r="D37" s="4"/>
    </row>
    <row r="38" spans="3:17" x14ac:dyDescent="0.2">
      <c r="C38" s="4"/>
      <c r="D38" s="4"/>
    </row>
    <row r="39" spans="3:17" x14ac:dyDescent="0.2">
      <c r="C39" s="4"/>
      <c r="D39" s="4"/>
    </row>
    <row r="40" spans="3:17" x14ac:dyDescent="0.2">
      <c r="C40" s="4"/>
      <c r="D40" s="4"/>
    </row>
    <row r="41" spans="3:17" x14ac:dyDescent="0.2">
      <c r="C41" s="4"/>
      <c r="D41" s="4"/>
    </row>
    <row r="42" spans="3:17" x14ac:dyDescent="0.2">
      <c r="C42" s="4"/>
      <c r="D42" s="4"/>
    </row>
    <row r="43" spans="3:17" x14ac:dyDescent="0.2">
      <c r="C43" s="4"/>
      <c r="D43" s="4"/>
    </row>
    <row r="44" spans="3:17" x14ac:dyDescent="0.2">
      <c r="C44" s="4"/>
      <c r="D44" s="4"/>
    </row>
    <row r="45" spans="3:17" x14ac:dyDescent="0.2">
      <c r="C45" s="4"/>
      <c r="D45" s="4"/>
    </row>
    <row r="46" spans="3:17" x14ac:dyDescent="0.2">
      <c r="C46" s="4"/>
      <c r="D46" s="4"/>
    </row>
    <row r="47" spans="3:17" x14ac:dyDescent="0.2">
      <c r="C47" s="4"/>
      <c r="D47" s="4"/>
    </row>
    <row r="48" spans="3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1"/>
  <sheetViews>
    <sheetView workbookViewId="0">
      <selection activeCell="A15" sqref="A15:C15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8" t="s">
        <v>46</v>
      </c>
      <c r="I1" s="9" t="s">
        <v>47</v>
      </c>
      <c r="J1" s="10" t="s">
        <v>48</v>
      </c>
    </row>
    <row r="2" spans="1:16" x14ac:dyDescent="0.2">
      <c r="I2" s="11" t="s">
        <v>49</v>
      </c>
      <c r="J2" s="12" t="s">
        <v>50</v>
      </c>
    </row>
    <row r="3" spans="1:16" x14ac:dyDescent="0.2">
      <c r="A3" s="13" t="s">
        <v>51</v>
      </c>
      <c r="I3" s="11" t="s">
        <v>52</v>
      </c>
      <c r="J3" s="12" t="s">
        <v>53</v>
      </c>
    </row>
    <row r="4" spans="1:16" x14ac:dyDescent="0.2">
      <c r="I4" s="11" t="s">
        <v>54</v>
      </c>
      <c r="J4" s="12" t="s">
        <v>53</v>
      </c>
    </row>
    <row r="5" spans="1:16" ht="13.5" thickBot="1" x14ac:dyDescent="0.25">
      <c r="I5" s="14" t="s">
        <v>55</v>
      </c>
      <c r="J5" s="15" t="s">
        <v>56</v>
      </c>
    </row>
    <row r="10" spans="1:16" ht="13.5" thickBot="1" x14ac:dyDescent="0.25"/>
    <row r="11" spans="1:16" ht="12.75" customHeight="1" thickBot="1" x14ac:dyDescent="0.25">
      <c r="A11" s="4" t="str">
        <f>P11</f>
        <v> BBS 119 </v>
      </c>
      <c r="B11" s="3" t="str">
        <f>IF(H11=INT(H11),"I","II")</f>
        <v>I</v>
      </c>
      <c r="C11" s="4">
        <f>1*G11</f>
        <v>51177.303</v>
      </c>
      <c r="D11" s="5" t="str">
        <f>VLOOKUP(F11,I$1:J$5,2,FALSE)</f>
        <v>vis</v>
      </c>
      <c r="E11" s="16">
        <f>VLOOKUP(C11,Active!C$21:E$973,3,FALSE)</f>
        <v>0</v>
      </c>
      <c r="F11" s="3" t="s">
        <v>55</v>
      </c>
      <c r="G11" s="5" t="str">
        <f>MID(I11,3,LEN(I11)-3)</f>
        <v>51177.303</v>
      </c>
      <c r="H11" s="4">
        <f>1*K11</f>
        <v>-1444</v>
      </c>
      <c r="I11" s="17" t="s">
        <v>57</v>
      </c>
      <c r="J11" s="18" t="s">
        <v>58</v>
      </c>
      <c r="K11" s="17">
        <v>-1444</v>
      </c>
      <c r="L11" s="17" t="s">
        <v>59</v>
      </c>
      <c r="M11" s="18" t="s">
        <v>60</v>
      </c>
      <c r="N11" s="18" t="s">
        <v>61</v>
      </c>
      <c r="O11" s="19" t="s">
        <v>62</v>
      </c>
      <c r="P11" s="19" t="s">
        <v>63</v>
      </c>
    </row>
    <row r="12" spans="1:16" ht="12.75" customHeight="1" thickBot="1" x14ac:dyDescent="0.25">
      <c r="A12" s="4" t="str">
        <f>P12</f>
        <v>IBVS 5960 </v>
      </c>
      <c r="B12" s="3" t="str">
        <f>IF(H12=INT(H12),"I","II")</f>
        <v>I</v>
      </c>
      <c r="C12" s="4">
        <f>1*G12</f>
        <v>55523.9565</v>
      </c>
      <c r="D12" s="5" t="str">
        <f>VLOOKUP(F12,I$1:J$5,2,FALSE)</f>
        <v>vis</v>
      </c>
      <c r="E12" s="16">
        <f>VLOOKUP(C12,Active!C$21:E$973,3,FALSE)</f>
        <v>4742.0116045084887</v>
      </c>
      <c r="F12" s="3" t="s">
        <v>55</v>
      </c>
      <c r="G12" s="5" t="str">
        <f>MID(I12,3,LEN(I12)-3)</f>
        <v>55523.9565</v>
      </c>
      <c r="H12" s="4">
        <f>1*K12</f>
        <v>3298</v>
      </c>
      <c r="I12" s="17" t="s">
        <v>68</v>
      </c>
      <c r="J12" s="18" t="s">
        <v>69</v>
      </c>
      <c r="K12" s="17">
        <v>3298</v>
      </c>
      <c r="L12" s="17" t="s">
        <v>70</v>
      </c>
      <c r="M12" s="18" t="s">
        <v>71</v>
      </c>
      <c r="N12" s="18" t="s">
        <v>55</v>
      </c>
      <c r="O12" s="19" t="s">
        <v>62</v>
      </c>
      <c r="P12" s="20" t="s">
        <v>72</v>
      </c>
    </row>
    <row r="13" spans="1:16" ht="12.75" customHeight="1" thickBot="1" x14ac:dyDescent="0.25">
      <c r="A13" s="4" t="str">
        <f>P13</f>
        <v>OEJV 0160 </v>
      </c>
      <c r="B13" s="3" t="str">
        <f>IF(H13=INT(H13),"I","II")</f>
        <v>I</v>
      </c>
      <c r="C13" s="4">
        <f>1*G13</f>
        <v>55992.35168</v>
      </c>
      <c r="D13" s="5" t="str">
        <f>VLOOKUP(F13,I$1:J$5,2,FALSE)</f>
        <v>vis</v>
      </c>
      <c r="E13" s="16">
        <f>VLOOKUP(C13,Active!C$21:E$973,3,FALSE)</f>
        <v>5253.0105555534337</v>
      </c>
      <c r="F13" s="3" t="s">
        <v>55</v>
      </c>
      <c r="G13" s="5" t="str">
        <f>MID(I13,3,LEN(I13)-3)</f>
        <v>55992.35168</v>
      </c>
      <c r="H13" s="4">
        <f>1*K13</f>
        <v>3809</v>
      </c>
      <c r="I13" s="17" t="s">
        <v>73</v>
      </c>
      <c r="J13" s="18" t="s">
        <v>74</v>
      </c>
      <c r="K13" s="17">
        <v>3809</v>
      </c>
      <c r="L13" s="17" t="s">
        <v>75</v>
      </c>
      <c r="M13" s="18" t="s">
        <v>71</v>
      </c>
      <c r="N13" s="18" t="s">
        <v>47</v>
      </c>
      <c r="O13" s="19" t="s">
        <v>76</v>
      </c>
      <c r="P13" s="20" t="s">
        <v>77</v>
      </c>
    </row>
    <row r="14" spans="1:16" ht="12.75" customHeight="1" thickBot="1" x14ac:dyDescent="0.25">
      <c r="A14" s="4" t="str">
        <f>P14</f>
        <v>IBVS 6063 </v>
      </c>
      <c r="B14" s="3" t="str">
        <f>IF(H14=INT(H14),"I","II")</f>
        <v>I</v>
      </c>
      <c r="C14" s="4">
        <f>1*G14</f>
        <v>56329.673199999997</v>
      </c>
      <c r="D14" s="5" t="str">
        <f>VLOOKUP(F14,I$1:J$5,2,FALSE)</f>
        <v>vis</v>
      </c>
      <c r="E14" s="16">
        <f>VLOOKUP(C14,Active!C$21:E$973,3,FALSE)</f>
        <v>5621.0137935134944</v>
      </c>
      <c r="F14" s="3" t="s">
        <v>55</v>
      </c>
      <c r="G14" s="5" t="str">
        <f>MID(I14,3,LEN(I14)-3)</f>
        <v>56329.6732</v>
      </c>
      <c r="H14" s="4">
        <f>1*K14</f>
        <v>4177</v>
      </c>
      <c r="I14" s="17" t="s">
        <v>78</v>
      </c>
      <c r="J14" s="18" t="s">
        <v>79</v>
      </c>
      <c r="K14" s="17">
        <v>4177</v>
      </c>
      <c r="L14" s="17" t="s">
        <v>80</v>
      </c>
      <c r="M14" s="18" t="s">
        <v>71</v>
      </c>
      <c r="N14" s="18" t="s">
        <v>55</v>
      </c>
      <c r="O14" s="19" t="s">
        <v>62</v>
      </c>
      <c r="P14" s="20" t="s">
        <v>81</v>
      </c>
    </row>
    <row r="15" spans="1:16" ht="12.75" customHeight="1" thickBot="1" x14ac:dyDescent="0.25">
      <c r="A15" s="4" t="str">
        <f>P15</f>
        <v> BBS 127 </v>
      </c>
      <c r="B15" s="3" t="str">
        <f>IF(H15=INT(H15),"I","II")</f>
        <v>I</v>
      </c>
      <c r="C15" s="4">
        <f>1*G15</f>
        <v>52296.504000000001</v>
      </c>
      <c r="D15" s="5" t="str">
        <f>VLOOKUP(F15,I$1:J$5,2,FALSE)</f>
        <v>vis</v>
      </c>
      <c r="E15" s="16">
        <f>VLOOKUP(C15,Active!C$21:E$973,3,FALSE)</f>
        <v>1221.0000474566259</v>
      </c>
      <c r="F15" s="3" t="s">
        <v>55</v>
      </c>
      <c r="G15" s="5" t="str">
        <f>MID(I15,3,LEN(I15)-3)</f>
        <v>52296.504</v>
      </c>
      <c r="H15" s="4">
        <f>1*K15</f>
        <v>-223</v>
      </c>
      <c r="I15" s="17" t="s">
        <v>64</v>
      </c>
      <c r="J15" s="18" t="s">
        <v>65</v>
      </c>
      <c r="K15" s="17">
        <v>-223</v>
      </c>
      <c r="L15" s="17" t="s">
        <v>66</v>
      </c>
      <c r="M15" s="18" t="s">
        <v>60</v>
      </c>
      <c r="N15" s="18" t="s">
        <v>61</v>
      </c>
      <c r="O15" s="19" t="s">
        <v>62</v>
      </c>
      <c r="P15" s="19" t="s">
        <v>67</v>
      </c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</sheetData>
  <phoneticPr fontId="7" type="noConversion"/>
  <hyperlinks>
    <hyperlink ref="P12" r:id="rId1" display="http://www.konkoly.hu/cgi-bin/IBVS?5960"/>
    <hyperlink ref="P13" r:id="rId2" display="http://var.astro.cz/oejv/issues/oejv0160.pdf"/>
    <hyperlink ref="P14" r:id="rId3" display="http://www.konkoly.hu/cgi-bin/IBVS?606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2024-02-28T05:49:50Z</dcterms:modified>
</cp:coreProperties>
</file>