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D5FD7CD-B46A-46D0-BBB1-7CCBB3DFEB1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I23" i="1"/>
  <c r="E24" i="1"/>
  <c r="F24" i="1"/>
  <c r="G24" i="1"/>
  <c r="I24" i="1"/>
  <c r="E25" i="1"/>
  <c r="F25" i="1"/>
  <c r="G25" i="1"/>
  <c r="H25" i="1"/>
  <c r="E26" i="1"/>
  <c r="F26" i="1"/>
  <c r="G26" i="1"/>
  <c r="I26" i="1"/>
  <c r="Q21" i="1"/>
  <c r="Q22" i="1"/>
  <c r="G13" i="2"/>
  <c r="C13" i="2"/>
  <c r="E13" i="2"/>
  <c r="G12" i="2"/>
  <c r="C12" i="2"/>
  <c r="E12" i="2"/>
  <c r="G11" i="2"/>
  <c r="C11" i="2"/>
  <c r="E11" i="2"/>
  <c r="G15" i="2"/>
  <c r="C15" i="2"/>
  <c r="E15" i="2"/>
  <c r="G14" i="2"/>
  <c r="C14" i="2"/>
  <c r="E14" i="2"/>
  <c r="H13" i="2"/>
  <c r="D13" i="2"/>
  <c r="B13" i="2"/>
  <c r="A13" i="2"/>
  <c r="H12" i="2"/>
  <c r="B12" i="2"/>
  <c r="D12" i="2"/>
  <c r="A12" i="2"/>
  <c r="H11" i="2"/>
  <c r="D11" i="2"/>
  <c r="B11" i="2"/>
  <c r="A11" i="2"/>
  <c r="H15" i="2"/>
  <c r="B15" i="2"/>
  <c r="D15" i="2"/>
  <c r="A15" i="2"/>
  <c r="H14" i="2"/>
  <c r="D14" i="2"/>
  <c r="B14" i="2"/>
  <c r="A14" i="2"/>
  <c r="F11" i="1"/>
  <c r="Q26" i="1"/>
  <c r="Q23" i="1"/>
  <c r="Q24" i="1"/>
  <c r="G11" i="1"/>
  <c r="E14" i="1"/>
  <c r="C17" i="1"/>
  <c r="Q25" i="1"/>
  <c r="C12" i="1"/>
  <c r="C11" i="1"/>
  <c r="O23" i="1" l="1"/>
  <c r="O25" i="1"/>
  <c r="C15" i="1"/>
  <c r="O21" i="1"/>
  <c r="O22" i="1"/>
  <c r="O26" i="1"/>
  <c r="O24" i="1"/>
  <c r="C16" i="1"/>
  <c r="D18" i="1" s="1"/>
  <c r="E15" i="1"/>
  <c r="C18" i="1" l="1"/>
  <c r="E16" i="1"/>
  <c r="E17" i="1" s="1"/>
</calcChain>
</file>

<file path=xl/sharedStrings.xml><?xml version="1.0" encoding="utf-8"?>
<sst xmlns="http://schemas.openxmlformats.org/spreadsheetml/2006/main" count="109" uniqueCount="85">
  <si>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</si>
  <si>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</si>
  <si>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</si>
  <si>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</si>
  <si>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</si>
  <si>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</si>
  <si>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</si>
  <si>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</si>
  <si>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</si>
  <si>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</si>
  <si>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</si>
  <si>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</si>
  <si>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</si>
  <si>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</si>
  <si>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</si>
  <si>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</si>
  <si>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</si>
  <si>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</si>
  <si>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</si>
  <si>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</si>
  <si>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</si>
  <si>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</si>
  <si>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</si>
  <si>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</si>
  <si>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</si>
  <si>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</si>
  <si>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</si>
  <si>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</si>
  <si>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</si>
  <si>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</si>
  <si>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</si>
  <si>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</si>
  <si>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</si>
  <si>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</si>
  <si>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</si>
  <si>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</si>
  <si>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</si>
  <si>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</si>
  <si>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</si>
  <si>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DX Ori</t>
  </si>
  <si>
    <t>DX Ori / GSC 0717-1942</t>
  </si>
  <si>
    <t>G0717-1942</t>
  </si>
  <si>
    <t>EA/SD</t>
  </si>
  <si>
    <t>Kreiner</t>
  </si>
  <si>
    <t>OEJV 0074</t>
  </si>
  <si>
    <t>II</t>
  </si>
  <si>
    <t>I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</si>
  <si>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</si>
  <si>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</si>
  <si>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</si>
  <si>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</si>
  <si>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</si>
  <si>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</si>
  <si>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</si>
  <si>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</si>
  <si>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</si>
  <si>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</si>
  <si>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</si>
  <si>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</si>
  <si>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2451555.3417 </t>
  </si>
  <si>
    <t> 11.01.2000 20:12 </t>
  </si>
  <si>
    <t> 0.9000 </t>
  </si>
  <si>
    <t>E </t>
  </si>
  <si>
    <t>?</t>
  </si>
  <si>
    <t> J.Safar </t>
  </si>
  <si>
    <t> BRNO 32 </t>
  </si>
  <si>
    <t>2451585.3841 </t>
  </si>
  <si>
    <t> 10.02.2000 21:13 </t>
  </si>
  <si>
    <t> 1.1721 </t>
  </si>
  <si>
    <t>2451923.36571 </t>
  </si>
  <si>
    <t> 13.01.2001 20:46 </t>
  </si>
  <si>
    <t> -1.07829 </t>
  </si>
  <si>
    <t>C </t>
  </si>
  <si>
    <t>o</t>
  </si>
  <si>
    <t> J.Šafár </t>
  </si>
  <si>
    <t>OEJV 0074 </t>
  </si>
  <si>
    <t>2452321.42623 </t>
  </si>
  <si>
    <t> 15.02.2002 22:13 </t>
  </si>
  <si>
    <t> -0.66392 </t>
  </si>
  <si>
    <t>2457015.5865 </t>
  </si>
  <si>
    <t> 24.12.2014 02:04 </t>
  </si>
  <si>
    <t> 0.4212 </t>
  </si>
  <si>
    <t> W.Moschner &amp; P.Frank </t>
  </si>
  <si>
    <t>BAVM 239 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</si>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</sst>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DX Ori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-252</c:v>
                </c:pt>
                <c:pt idx="1">
                  <c:v>-244</c:v>
                </c:pt>
                <c:pt idx="2">
                  <c:v>-154</c:v>
                </c:pt>
                <c:pt idx="3">
                  <c:v>-48</c:v>
                </c:pt>
                <c:pt idx="4">
                  <c:v>0</c:v>
                </c:pt>
                <c:pt idx="5">
                  <c:v>1202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77-4B3C-B905-13FAF9D32B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-252</c:v>
                </c:pt>
                <c:pt idx="1">
                  <c:v>-244</c:v>
                </c:pt>
                <c:pt idx="2">
                  <c:v>-154</c:v>
                </c:pt>
                <c:pt idx="3">
                  <c:v>-48</c:v>
                </c:pt>
                <c:pt idx="4">
                  <c:v>0</c:v>
                </c:pt>
                <c:pt idx="5">
                  <c:v>1202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1.9045999943045899E-3</c:v>
                </c:pt>
                <c:pt idx="3">
                  <c:v>-9.5480000163661316E-4</c:v>
                </c:pt>
                <c:pt idx="5">
                  <c:v>1.5690199994423892E-2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77-4B3C-B905-13FAF9D32B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-252</c:v>
                </c:pt>
                <c:pt idx="1">
                  <c:v>-244</c:v>
                </c:pt>
                <c:pt idx="2">
                  <c:v>-154</c:v>
                </c:pt>
                <c:pt idx="3">
                  <c:v>-48</c:v>
                </c:pt>
                <c:pt idx="4">
                  <c:v>0</c:v>
                </c:pt>
                <c:pt idx="5">
                  <c:v>1202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77-4B3C-B905-13FAF9D32B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-252</c:v>
                </c:pt>
                <c:pt idx="1">
                  <c:v>-244</c:v>
                </c:pt>
                <c:pt idx="2">
                  <c:v>-154</c:v>
                </c:pt>
                <c:pt idx="3">
                  <c:v>-48</c:v>
                </c:pt>
                <c:pt idx="4">
                  <c:v>0</c:v>
                </c:pt>
                <c:pt idx="5">
                  <c:v>1202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-1.2452000009943731E-3</c:v>
                </c:pt>
                <c:pt idx="1">
                  <c:v>-1.3643999991472811E-3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77-4B3C-B905-13FAF9D32B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-252</c:v>
                </c:pt>
                <c:pt idx="1">
                  <c:v>-244</c:v>
                </c:pt>
                <c:pt idx="2">
                  <c:v>-154</c:v>
                </c:pt>
                <c:pt idx="3">
                  <c:v>-48</c:v>
                </c:pt>
                <c:pt idx="4">
                  <c:v>0</c:v>
                </c:pt>
                <c:pt idx="5">
                  <c:v>1202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77-4B3C-B905-13FAF9D32B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-252</c:v>
                </c:pt>
                <c:pt idx="1">
                  <c:v>-244</c:v>
                </c:pt>
                <c:pt idx="2">
                  <c:v>-154</c:v>
                </c:pt>
                <c:pt idx="3">
                  <c:v>-48</c:v>
                </c:pt>
                <c:pt idx="4">
                  <c:v>0</c:v>
                </c:pt>
                <c:pt idx="5">
                  <c:v>1202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77-4B3C-B905-13FAF9D32B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4.0000000000000001E-3</c:v>
                  </c:pt>
                  <c:pt idx="3">
                    <c:v>3.2000000000000002E-3</c:v>
                  </c:pt>
                  <c:pt idx="4">
                    <c:v>0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-252</c:v>
                </c:pt>
                <c:pt idx="1">
                  <c:v>-244</c:v>
                </c:pt>
                <c:pt idx="2">
                  <c:v>-154</c:v>
                </c:pt>
                <c:pt idx="3">
                  <c:v>-48</c:v>
                </c:pt>
                <c:pt idx="4">
                  <c:v>0</c:v>
                </c:pt>
                <c:pt idx="5">
                  <c:v>1202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77-4B3C-B905-13FAF9D32B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-252</c:v>
                </c:pt>
                <c:pt idx="1">
                  <c:v>-244</c:v>
                </c:pt>
                <c:pt idx="2">
                  <c:v>-154</c:v>
                </c:pt>
                <c:pt idx="3">
                  <c:v>-48</c:v>
                </c:pt>
                <c:pt idx="4">
                  <c:v>0</c:v>
                </c:pt>
                <c:pt idx="5">
                  <c:v>1202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-1.5770809856001222E-3</c:v>
                </c:pt>
                <c:pt idx="1">
                  <c:v>-1.483855247899523E-3</c:v>
                </c:pt>
                <c:pt idx="2">
                  <c:v>-4.3506569876778441E-4</c:v>
                </c:pt>
                <c:pt idx="3">
                  <c:v>8.0017532576515235E-4</c:v>
                </c:pt>
                <c:pt idx="4">
                  <c:v>1.3595297519687463E-3</c:v>
                </c:pt>
                <c:pt idx="5">
                  <c:v>1.5366696841483746E-2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77-4B3C-B905-13FAF9D32BF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-252</c:v>
                </c:pt>
                <c:pt idx="1">
                  <c:v>-244</c:v>
                </c:pt>
                <c:pt idx="2">
                  <c:v>-154</c:v>
                </c:pt>
                <c:pt idx="3">
                  <c:v>-48</c:v>
                </c:pt>
                <c:pt idx="4">
                  <c:v>0</c:v>
                </c:pt>
                <c:pt idx="5">
                  <c:v>1202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77-4B3C-B905-13FAF9D32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082608"/>
        <c:axId val="1"/>
      </c:scatterChart>
      <c:valAx>
        <c:axId val="71208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082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947368421052632"/>
          <c:y val="0.92375366568914952"/>
          <c:w val="0.766917293233082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FB05E0E-BD2F-1474-112F-8CD823AD1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s="5" t="s">
        <v>39</v>
      </c>
      <c r="F1" t="s">
        <v>41</v>
      </c>
    </row>
    <row r="2" spans="1:7" s="21" customFormat="1" ht="12.95" customHeight="1" x14ac:dyDescent="0.2">
      <c r="A2" s="21" t="s">
        <v>23</v>
      </c>
      <c r="B2" s="21" t="s">
        <v>42</v>
      </c>
      <c r="C2" s="22"/>
      <c r="D2" s="22"/>
      <c r="E2" s="21">
        <v>0</v>
      </c>
    </row>
    <row r="3" spans="1:7" s="21" customFormat="1" ht="12.95" customHeight="1" thickBot="1" x14ac:dyDescent="0.25"/>
    <row r="4" spans="1:7" s="21" customFormat="1" ht="12.95" customHeight="1" thickTop="1" thickBot="1" x14ac:dyDescent="0.25">
      <c r="A4" s="23" t="s">
        <v>0</v>
      </c>
      <c r="C4" s="24">
        <v>52501.6823</v>
      </c>
      <c r="D4" s="25">
        <v>3.7553149000000001</v>
      </c>
    </row>
    <row r="5" spans="1:7" s="21" customFormat="1" ht="12.95" customHeight="1" x14ac:dyDescent="0.2"/>
    <row r="6" spans="1:7" s="21" customFormat="1" ht="12.95" customHeight="1" x14ac:dyDescent="0.2">
      <c r="A6" s="23" t="s">
        <v>1</v>
      </c>
    </row>
    <row r="7" spans="1:7" s="21" customFormat="1" ht="12.95" customHeight="1" x14ac:dyDescent="0.2">
      <c r="A7" s="21" t="s">
        <v>2</v>
      </c>
      <c r="C7" s="21">
        <v>52501.6823</v>
      </c>
    </row>
    <row r="8" spans="1:7" s="21" customFormat="1" ht="12.95" customHeight="1" x14ac:dyDescent="0.2">
      <c r="A8" s="21" t="s">
        <v>3</v>
      </c>
      <c r="C8" s="21">
        <v>3.7553149000000001</v>
      </c>
    </row>
    <row r="9" spans="1:7" s="21" customFormat="1" ht="12.95" customHeight="1" x14ac:dyDescent="0.2">
      <c r="A9" s="26" t="s">
        <v>28</v>
      </c>
      <c r="C9" s="27">
        <v>-9.5</v>
      </c>
      <c r="D9" s="21" t="s">
        <v>29</v>
      </c>
    </row>
    <row r="10" spans="1:7" s="21" customFormat="1" ht="12.95" customHeight="1" thickBot="1" x14ac:dyDescent="0.25">
      <c r="C10" s="28" t="s">
        <v>19</v>
      </c>
      <c r="D10" s="28" t="s">
        <v>20</v>
      </c>
    </row>
    <row r="11" spans="1:7" s="21" customFormat="1" ht="12.95" customHeight="1" x14ac:dyDescent="0.2">
      <c r="A11" s="21" t="s">
        <v>15</v>
      </c>
      <c r="C11" s="29">
        <f ca="1">INTERCEPT(INDIRECT($G$11):G992,INDIRECT($F$11):F992)</f>
        <v>1.3595297519687463E-3</v>
      </c>
      <c r="D11" s="22"/>
      <c r="F11" s="30" t="str">
        <f>"F"&amp;E19</f>
        <v>F21</v>
      </c>
      <c r="G11" s="29" t="str">
        <f>"G"&amp;E19</f>
        <v>G21</v>
      </c>
    </row>
    <row r="12" spans="1:7" s="21" customFormat="1" ht="12.95" customHeight="1" x14ac:dyDescent="0.2">
      <c r="A12" s="21" t="s">
        <v>16</v>
      </c>
      <c r="C12" s="29">
        <f ca="1">SLOPE(INDIRECT($G$11):G992,INDIRECT($F$11):F992)</f>
        <v>1.1653217212574875E-5</v>
      </c>
      <c r="D12" s="22"/>
    </row>
    <row r="13" spans="1:7" s="21" customFormat="1" ht="12.95" customHeight="1" x14ac:dyDescent="0.2">
      <c r="A13" s="21" t="s">
        <v>18</v>
      </c>
      <c r="C13" s="22" t="s">
        <v>13</v>
      </c>
      <c r="D13" s="31" t="s">
        <v>37</v>
      </c>
      <c r="E13" s="27">
        <v>1</v>
      </c>
    </row>
    <row r="14" spans="1:7" s="21" customFormat="1" ht="12.95" customHeight="1" x14ac:dyDescent="0.2">
      <c r="D14" s="31" t="s">
        <v>30</v>
      </c>
      <c r="E14" s="32">
        <f ca="1">NOW()+15018.5+$C$9/24</f>
        <v>60368.785565162034</v>
      </c>
    </row>
    <row r="15" spans="1:7" s="21" customFormat="1" ht="12.95" customHeight="1" x14ac:dyDescent="0.2">
      <c r="A15" s="33" t="s">
        <v>17</v>
      </c>
      <c r="C15" s="34">
        <f ca="1">(C7+C11)+(C8+C12)*INT(MAX(F21:F3533))</f>
        <v>57015.586176496843</v>
      </c>
      <c r="D15" s="31" t="s">
        <v>38</v>
      </c>
      <c r="E15" s="32">
        <f ca="1">ROUND(2*(E14-$C$7)/$C$8,0)/2+E13</f>
        <v>2096</v>
      </c>
    </row>
    <row r="16" spans="1:7" s="21" customFormat="1" ht="12.95" customHeight="1" x14ac:dyDescent="0.2">
      <c r="A16" s="23" t="s">
        <v>4</v>
      </c>
      <c r="C16" s="35">
        <f ca="1">+C8+C12</f>
        <v>3.7553265532172126</v>
      </c>
      <c r="D16" s="31" t="s">
        <v>31</v>
      </c>
      <c r="E16" s="29">
        <f ca="1">ROUND(2*(E14-$C$15)/$C$16,0)/2+E13</f>
        <v>894</v>
      </c>
    </row>
    <row r="17" spans="1:18" s="21" customFormat="1" ht="12.95" customHeight="1" thickBot="1" x14ac:dyDescent="0.25">
      <c r="A17" s="31" t="s">
        <v>27</v>
      </c>
      <c r="C17" s="21">
        <f>COUNT(C21:C2191)</f>
        <v>6</v>
      </c>
      <c r="D17" s="31" t="s">
        <v>32</v>
      </c>
      <c r="E17" s="36">
        <f ca="1">+$C$15+$C$16*E16-15018.5-$C$9/24</f>
        <v>45354.743948406365</v>
      </c>
    </row>
    <row r="18" spans="1:18" s="21" customFormat="1" ht="12.95" customHeight="1" thickTop="1" thickBot="1" x14ac:dyDescent="0.25">
      <c r="A18" s="23" t="s">
        <v>5</v>
      </c>
      <c r="C18" s="37">
        <f ca="1">+C15</f>
        <v>57015.586176496843</v>
      </c>
      <c r="D18" s="38">
        <f ca="1">+C16</f>
        <v>3.7553265532172126</v>
      </c>
      <c r="E18" s="39" t="s">
        <v>33</v>
      </c>
    </row>
    <row r="19" spans="1:18" s="21" customFormat="1" ht="12.95" customHeight="1" thickTop="1" x14ac:dyDescent="0.2">
      <c r="A19" s="5" t="s">
        <v>34</v>
      </c>
      <c r="E19" s="40">
        <v>21</v>
      </c>
    </row>
    <row r="20" spans="1:18" s="21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41" t="s">
        <v>35</v>
      </c>
      <c r="I20" s="41" t="s">
        <v>50</v>
      </c>
      <c r="J20" s="41" t="s">
        <v>84</v>
      </c>
      <c r="K20" s="41" t="s">
        <v>58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28" t="s">
        <v>14</v>
      </c>
      <c r="R20" s="43" t="s">
        <v>36</v>
      </c>
    </row>
    <row r="21" spans="1:18" s="21" customFormat="1" ht="12.95" customHeight="1" x14ac:dyDescent="0.2">
      <c r="A21" s="44" t="s">
        <v>65</v>
      </c>
      <c r="B21" s="45" t="s">
        <v>46</v>
      </c>
      <c r="C21" s="46">
        <v>51555.341699999997</v>
      </c>
      <c r="D21" s="47"/>
      <c r="E21" s="21">
        <f t="shared" ref="E21:E26" si="0">+(C21-C$7)/C$8</f>
        <v>-252.00033158337885</v>
      </c>
      <c r="F21" s="21">
        <f t="shared" ref="F21:F26" si="1">ROUND(2*E21,0)/2</f>
        <v>-252</v>
      </c>
      <c r="G21" s="21">
        <f t="shared" ref="G21:G26" si="2">+C21-(C$7+F21*C$8)</f>
        <v>-1.2452000009943731E-3</v>
      </c>
      <c r="K21" s="21">
        <f>+G21</f>
        <v>-1.2452000009943731E-3</v>
      </c>
      <c r="O21" s="21">
        <f t="shared" ref="O21:O26" ca="1" si="3">+C$11+C$12*$F21</f>
        <v>-1.5770809856001222E-3</v>
      </c>
      <c r="Q21" s="48">
        <f t="shared" ref="Q21:Q26" si="4">+C21-15018.5</f>
        <v>36536.841699999997</v>
      </c>
    </row>
    <row r="22" spans="1:18" s="21" customFormat="1" ht="12.95" customHeight="1" x14ac:dyDescent="0.2">
      <c r="A22" s="44" t="s">
        <v>65</v>
      </c>
      <c r="B22" s="45" t="s">
        <v>46</v>
      </c>
      <c r="C22" s="46">
        <v>51585.384100000003</v>
      </c>
      <c r="D22" s="47"/>
      <c r="E22" s="21">
        <f t="shared" si="0"/>
        <v>-244.0003633250563</v>
      </c>
      <c r="F22" s="21">
        <f t="shared" si="1"/>
        <v>-244</v>
      </c>
      <c r="G22" s="21">
        <f t="shared" si="2"/>
        <v>-1.3643999991472811E-3</v>
      </c>
      <c r="K22" s="21">
        <f>+G22</f>
        <v>-1.3643999991472811E-3</v>
      </c>
      <c r="O22" s="21">
        <f t="shared" ca="1" si="3"/>
        <v>-1.483855247899523E-3</v>
      </c>
      <c r="Q22" s="48">
        <f t="shared" si="4"/>
        <v>36566.884100000003</v>
      </c>
    </row>
    <row r="23" spans="1:18" s="21" customFormat="1" ht="12.95" customHeight="1" x14ac:dyDescent="0.2">
      <c r="A23" s="6" t="s">
        <v>44</v>
      </c>
      <c r="B23" s="7" t="s">
        <v>45</v>
      </c>
      <c r="C23" s="6">
        <v>51923.365709999998</v>
      </c>
      <c r="D23" s="6">
        <v>4.0000000000000001E-3</v>
      </c>
      <c r="E23" s="21">
        <f t="shared" si="0"/>
        <v>-153.99949282548906</v>
      </c>
      <c r="F23" s="21">
        <f t="shared" si="1"/>
        <v>-154</v>
      </c>
      <c r="G23" s="21">
        <f t="shared" si="2"/>
        <v>1.9045999943045899E-3</v>
      </c>
      <c r="I23" s="21">
        <f>+G23</f>
        <v>1.9045999943045899E-3</v>
      </c>
      <c r="O23" s="21">
        <f t="shared" ca="1" si="3"/>
        <v>-4.3506569876778441E-4</v>
      </c>
      <c r="Q23" s="48">
        <f t="shared" si="4"/>
        <v>36904.865709999998</v>
      </c>
    </row>
    <row r="24" spans="1:18" s="21" customFormat="1" ht="12.95" customHeight="1" x14ac:dyDescent="0.2">
      <c r="A24" s="6" t="s">
        <v>44</v>
      </c>
      <c r="B24" s="7" t="s">
        <v>46</v>
      </c>
      <c r="C24" s="6">
        <v>52321.426229999997</v>
      </c>
      <c r="D24" s="6">
        <v>3.2000000000000002E-3</v>
      </c>
      <c r="E24" s="21">
        <f t="shared" si="0"/>
        <v>-48.000254252979715</v>
      </c>
      <c r="F24" s="21">
        <f t="shared" si="1"/>
        <v>-48</v>
      </c>
      <c r="G24" s="21">
        <f t="shared" si="2"/>
        <v>-9.5480000163661316E-4</v>
      </c>
      <c r="I24" s="21">
        <f>+G24</f>
        <v>-9.5480000163661316E-4</v>
      </c>
      <c r="O24" s="21">
        <f t="shared" ca="1" si="3"/>
        <v>8.0017532576515235E-4</v>
      </c>
      <c r="Q24" s="48">
        <f t="shared" si="4"/>
        <v>37302.926229999997</v>
      </c>
    </row>
    <row r="25" spans="1:18" s="21" customFormat="1" ht="12.95" customHeight="1" x14ac:dyDescent="0.2">
      <c r="A25" s="21" t="s">
        <v>43</v>
      </c>
      <c r="C25" s="47">
        <v>52501.6823</v>
      </c>
      <c r="D25" s="47" t="s">
        <v>13</v>
      </c>
      <c r="E25" s="21">
        <f t="shared" si="0"/>
        <v>0</v>
      </c>
      <c r="F25" s="21">
        <f t="shared" si="1"/>
        <v>0</v>
      </c>
      <c r="G25" s="21">
        <f t="shared" si="2"/>
        <v>0</v>
      </c>
      <c r="H25" s="21">
        <f>+G25</f>
        <v>0</v>
      </c>
      <c r="O25" s="21">
        <f t="shared" ca="1" si="3"/>
        <v>1.3595297519687463E-3</v>
      </c>
      <c r="Q25" s="48">
        <f t="shared" si="4"/>
        <v>37483.1823</v>
      </c>
    </row>
    <row r="26" spans="1:18" s="21" customFormat="1" ht="12.95" customHeight="1" x14ac:dyDescent="0.2">
      <c r="A26" s="49" t="s">
        <v>47</v>
      </c>
      <c r="B26" s="50"/>
      <c r="C26" s="49">
        <v>57015.586499999998</v>
      </c>
      <c r="D26" s="49">
        <v>2.3999999999999998E-3</v>
      </c>
      <c r="E26" s="21">
        <f t="shared" si="0"/>
        <v>1202.0041781316388</v>
      </c>
      <c r="F26" s="21">
        <f t="shared" si="1"/>
        <v>1202</v>
      </c>
      <c r="G26" s="21">
        <f t="shared" si="2"/>
        <v>1.5690199994423892E-2</v>
      </c>
      <c r="I26" s="21">
        <f>+G26</f>
        <v>1.5690199994423892E-2</v>
      </c>
      <c r="O26" s="21">
        <f t="shared" ca="1" si="3"/>
        <v>1.5366696841483746E-2</v>
      </c>
      <c r="Q26" s="48">
        <f t="shared" si="4"/>
        <v>41997.086499999998</v>
      </c>
    </row>
    <row r="27" spans="1:18" s="21" customFormat="1" ht="12.95" customHeight="1" x14ac:dyDescent="0.2">
      <c r="C27" s="47"/>
      <c r="D27" s="47"/>
      <c r="Q27" s="48"/>
    </row>
    <row r="28" spans="1:18" s="21" customFormat="1" ht="12.95" customHeight="1" x14ac:dyDescent="0.2">
      <c r="C28" s="47"/>
      <c r="D28" s="47"/>
      <c r="Q28" s="48"/>
    </row>
    <row r="29" spans="1:18" s="21" customFormat="1" ht="12.95" customHeight="1" x14ac:dyDescent="0.2">
      <c r="C29" s="47"/>
      <c r="D29" s="47"/>
      <c r="Q29" s="48"/>
    </row>
    <row r="30" spans="1:18" s="21" customFormat="1" ht="12.95" customHeight="1" x14ac:dyDescent="0.2">
      <c r="C30" s="47"/>
      <c r="D30" s="47"/>
      <c r="Q30" s="48"/>
    </row>
    <row r="31" spans="1:18" s="21" customFormat="1" ht="12.95" customHeight="1" x14ac:dyDescent="0.2">
      <c r="C31" s="47"/>
      <c r="D31" s="47"/>
      <c r="Q31" s="48"/>
    </row>
    <row r="32" spans="1:18" s="21" customFormat="1" ht="12.95" customHeight="1" x14ac:dyDescent="0.2">
      <c r="C32" s="47"/>
      <c r="D32" s="47"/>
      <c r="Q32" s="48"/>
    </row>
    <row r="33" spans="3:17" s="21" customFormat="1" ht="12.95" customHeight="1" x14ac:dyDescent="0.2">
      <c r="C33" s="47"/>
      <c r="D33" s="47"/>
      <c r="Q33" s="48"/>
    </row>
    <row r="34" spans="3:17" s="21" customFormat="1" ht="12.95" customHeight="1" x14ac:dyDescent="0.2">
      <c r="C34" s="47"/>
      <c r="D34" s="47"/>
    </row>
    <row r="35" spans="3:17" s="21" customFormat="1" ht="12.95" customHeight="1" x14ac:dyDescent="0.2">
      <c r="C35" s="47"/>
      <c r="D35" s="47"/>
    </row>
    <row r="36" spans="3:17" s="21" customFormat="1" ht="12.95" customHeight="1" x14ac:dyDescent="0.2">
      <c r="C36" s="47"/>
      <c r="D36" s="47"/>
    </row>
    <row r="37" spans="3:17" s="21" customFormat="1" ht="12.95" customHeight="1" x14ac:dyDescent="0.2">
      <c r="C37" s="47"/>
      <c r="D37" s="47"/>
    </row>
    <row r="38" spans="3:17" s="21" customFormat="1" ht="12.95" customHeight="1" x14ac:dyDescent="0.2">
      <c r="C38" s="47"/>
      <c r="D38" s="47"/>
    </row>
    <row r="39" spans="3:17" s="21" customFormat="1" ht="12.95" customHeight="1" x14ac:dyDescent="0.2">
      <c r="C39" s="47"/>
      <c r="D39" s="47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0"/>
  <sheetViews>
    <sheetView workbookViewId="0">
      <selection activeCell="A14" sqref="A14:C15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48</v>
      </c>
      <c r="I1" s="9" t="s">
        <v>49</v>
      </c>
      <c r="J1" s="10" t="s">
        <v>50</v>
      </c>
    </row>
    <row r="2" spans="1:16" x14ac:dyDescent="0.2">
      <c r="I2" s="11" t="s">
        <v>51</v>
      </c>
      <c r="J2" s="12" t="s">
        <v>52</v>
      </c>
    </row>
    <row r="3" spans="1:16" x14ac:dyDescent="0.2">
      <c r="A3" s="13" t="s">
        <v>53</v>
      </c>
      <c r="I3" s="11" t="s">
        <v>54</v>
      </c>
      <c r="J3" s="12" t="s">
        <v>55</v>
      </c>
    </row>
    <row r="4" spans="1:16" x14ac:dyDescent="0.2">
      <c r="I4" s="11" t="s">
        <v>56</v>
      </c>
      <c r="J4" s="12" t="s">
        <v>55</v>
      </c>
    </row>
    <row r="5" spans="1:16" ht="13.5" thickBot="1" x14ac:dyDescent="0.25">
      <c r="I5" s="14" t="s">
        <v>57</v>
      </c>
      <c r="J5" s="15" t="s">
        <v>58</v>
      </c>
    </row>
    <row r="10" spans="1:16" ht="13.5" thickBot="1" x14ac:dyDescent="0.25"/>
    <row r="11" spans="1:16" ht="12.75" customHeight="1" thickBot="1" x14ac:dyDescent="0.25">
      <c r="A11" s="3" t="str">
        <f>P11</f>
        <v>OEJV 0074 </v>
      </c>
      <c r="B11" s="2" t="str">
        <f>IF(H11=INT(H11),"I","II")</f>
        <v>I</v>
      </c>
      <c r="C11" s="3">
        <f>1*G11</f>
        <v>51923.365709999998</v>
      </c>
      <c r="D11" s="4" t="str">
        <f>VLOOKUP(F11,I$1:J$5,2,FALSE)</f>
        <v>vis</v>
      </c>
      <c r="E11" s="16">
        <f>VLOOKUP(C11,Active!C$21:E$973,3,FALSE)</f>
        <v>-153.99949282548906</v>
      </c>
      <c r="F11" s="2" t="s">
        <v>57</v>
      </c>
      <c r="G11" s="4" t="str">
        <f>MID(I11,3,LEN(I11)-3)</f>
        <v>51923.36571</v>
      </c>
      <c r="H11" s="3">
        <f>1*K11</f>
        <v>6260</v>
      </c>
      <c r="I11" s="17" t="s">
        <v>69</v>
      </c>
      <c r="J11" s="18" t="s">
        <v>70</v>
      </c>
      <c r="K11" s="17">
        <v>6260</v>
      </c>
      <c r="L11" s="17" t="s">
        <v>71</v>
      </c>
      <c r="M11" s="18" t="s">
        <v>72</v>
      </c>
      <c r="N11" s="18" t="s">
        <v>73</v>
      </c>
      <c r="O11" s="19" t="s">
        <v>74</v>
      </c>
      <c r="P11" s="20" t="s">
        <v>75</v>
      </c>
    </row>
    <row r="12" spans="1:16" ht="12.75" customHeight="1" thickBot="1" x14ac:dyDescent="0.25">
      <c r="A12" s="3" t="str">
        <f>P12</f>
        <v>OEJV 0074 </v>
      </c>
      <c r="B12" s="2" t="str">
        <f>IF(H12=INT(H12),"I","II")</f>
        <v>II</v>
      </c>
      <c r="C12" s="3">
        <f>1*G12</f>
        <v>52321.426229999997</v>
      </c>
      <c r="D12" s="4" t="str">
        <f>VLOOKUP(F12,I$1:J$5,2,FALSE)</f>
        <v>vis</v>
      </c>
      <c r="E12" s="16">
        <f>VLOOKUP(C12,Active!C$21:E$973,3,FALSE)</f>
        <v>-48.000254252979715</v>
      </c>
      <c r="F12" s="2" t="s">
        <v>57</v>
      </c>
      <c r="G12" s="4" t="str">
        <f>MID(I12,3,LEN(I12)-3)</f>
        <v>52321.42623</v>
      </c>
      <c r="H12" s="3">
        <f>1*K12</f>
        <v>6353.5</v>
      </c>
      <c r="I12" s="17" t="s">
        <v>76</v>
      </c>
      <c r="J12" s="18" t="s">
        <v>77</v>
      </c>
      <c r="K12" s="17">
        <v>6353.5</v>
      </c>
      <c r="L12" s="17" t="s">
        <v>78</v>
      </c>
      <c r="M12" s="18" t="s">
        <v>72</v>
      </c>
      <c r="N12" s="18" t="s">
        <v>49</v>
      </c>
      <c r="O12" s="19" t="s">
        <v>74</v>
      </c>
      <c r="P12" s="20" t="s">
        <v>75</v>
      </c>
    </row>
    <row r="13" spans="1:16" ht="12.75" customHeight="1" thickBot="1" x14ac:dyDescent="0.25">
      <c r="A13" s="3" t="str">
        <f>P13</f>
        <v>BAVM 239 </v>
      </c>
      <c r="B13" s="2" t="str">
        <f>IF(H13=INT(H13),"I","II")</f>
        <v>I</v>
      </c>
      <c r="C13" s="3">
        <f>1*G13</f>
        <v>57015.586499999998</v>
      </c>
      <c r="D13" s="4" t="str">
        <f>VLOOKUP(F13,I$1:J$5,2,FALSE)</f>
        <v>vis</v>
      </c>
      <c r="E13" s="16">
        <f>VLOOKUP(C13,Active!C$21:E$973,3,FALSE)</f>
        <v>1202.0041781316388</v>
      </c>
      <c r="F13" s="2" t="s">
        <v>57</v>
      </c>
      <c r="G13" s="4" t="str">
        <f>MID(I13,3,LEN(I13)-3)</f>
        <v>57015.5865</v>
      </c>
      <c r="H13" s="3">
        <f>1*K13</f>
        <v>7457</v>
      </c>
      <c r="I13" s="17" t="s">
        <v>79</v>
      </c>
      <c r="J13" s="18" t="s">
        <v>80</v>
      </c>
      <c r="K13" s="17">
        <v>7457</v>
      </c>
      <c r="L13" s="17" t="s">
        <v>81</v>
      </c>
      <c r="M13" s="18" t="s">
        <v>72</v>
      </c>
      <c r="N13" s="18" t="s">
        <v>73</v>
      </c>
      <c r="O13" s="19" t="s">
        <v>82</v>
      </c>
      <c r="P13" s="20" t="s">
        <v>83</v>
      </c>
    </row>
    <row r="14" spans="1:16" ht="12.75" customHeight="1" thickBot="1" x14ac:dyDescent="0.25">
      <c r="A14" s="3" t="str">
        <f>P14</f>
        <v> BRNO 32 </v>
      </c>
      <c r="B14" s="2" t="str">
        <f>IF(H14=INT(H14),"I","II")</f>
        <v>I</v>
      </c>
      <c r="C14" s="3">
        <f>1*G14</f>
        <v>51555.341699999997</v>
      </c>
      <c r="D14" s="4" t="str">
        <f>VLOOKUP(F14,I$1:J$5,2,FALSE)</f>
        <v>vis</v>
      </c>
      <c r="E14" s="16">
        <f>VLOOKUP(C14,Active!C$21:E$973,3,FALSE)</f>
        <v>-252.00033158337885</v>
      </c>
      <c r="F14" s="2" t="s">
        <v>57</v>
      </c>
      <c r="G14" s="4" t="str">
        <f>MID(I14,3,LEN(I14)-3)</f>
        <v>51555.3417</v>
      </c>
      <c r="H14" s="3">
        <f>1*K14</f>
        <v>6173</v>
      </c>
      <c r="I14" s="17" t="s">
        <v>59</v>
      </c>
      <c r="J14" s="18" t="s">
        <v>60</v>
      </c>
      <c r="K14" s="17">
        <v>6173</v>
      </c>
      <c r="L14" s="17" t="s">
        <v>61</v>
      </c>
      <c r="M14" s="18" t="s">
        <v>62</v>
      </c>
      <c r="N14" s="18" t="s">
        <v>63</v>
      </c>
      <c r="O14" s="19" t="s">
        <v>64</v>
      </c>
      <c r="P14" s="19" t="s">
        <v>65</v>
      </c>
    </row>
    <row r="15" spans="1:16" ht="12.75" customHeight="1" thickBot="1" x14ac:dyDescent="0.25">
      <c r="A15" s="3" t="str">
        <f>P15</f>
        <v> BRNO 32 </v>
      </c>
      <c r="B15" s="2" t="str">
        <f>IF(H15=INT(H15),"I","II")</f>
        <v>I</v>
      </c>
      <c r="C15" s="3">
        <f>1*G15</f>
        <v>51585.384100000003</v>
      </c>
      <c r="D15" s="4" t="str">
        <f>VLOOKUP(F15,I$1:J$5,2,FALSE)</f>
        <v>vis</v>
      </c>
      <c r="E15" s="16">
        <f>VLOOKUP(C15,Active!C$21:E$973,3,FALSE)</f>
        <v>-244.0003633250563</v>
      </c>
      <c r="F15" s="2" t="s">
        <v>57</v>
      </c>
      <c r="G15" s="4" t="str">
        <f>MID(I15,3,LEN(I15)-3)</f>
        <v>51585.3841</v>
      </c>
      <c r="H15" s="3">
        <f>1*K15</f>
        <v>6180</v>
      </c>
      <c r="I15" s="17" t="s">
        <v>66</v>
      </c>
      <c r="J15" s="18" t="s">
        <v>67</v>
      </c>
      <c r="K15" s="17">
        <v>6180</v>
      </c>
      <c r="L15" s="17" t="s">
        <v>68</v>
      </c>
      <c r="M15" s="18" t="s">
        <v>62</v>
      </c>
      <c r="N15" s="18" t="s">
        <v>63</v>
      </c>
      <c r="O15" s="19" t="s">
        <v>64</v>
      </c>
      <c r="P15" s="19" t="s">
        <v>65</v>
      </c>
    </row>
    <row r="16" spans="1:16" x14ac:dyDescent="0.2">
      <c r="B16" s="2"/>
      <c r="F16" s="2"/>
    </row>
    <row r="17" spans="2:6" x14ac:dyDescent="0.2">
      <c r="B17" s="2"/>
      <c r="F17" s="2"/>
    </row>
    <row r="18" spans="2:6" x14ac:dyDescent="0.2">
      <c r="B18" s="2"/>
      <c r="F18" s="2"/>
    </row>
    <row r="19" spans="2:6" x14ac:dyDescent="0.2">
      <c r="B19" s="2"/>
      <c r="F19" s="2"/>
    </row>
    <row r="20" spans="2:6" x14ac:dyDescent="0.2">
      <c r="B20" s="2"/>
      <c r="F20" s="2"/>
    </row>
    <row r="21" spans="2:6" x14ac:dyDescent="0.2">
      <c r="B21" s="2"/>
      <c r="F21" s="2"/>
    </row>
    <row r="22" spans="2:6" x14ac:dyDescent="0.2">
      <c r="B22" s="2"/>
      <c r="F22" s="2"/>
    </row>
    <row r="23" spans="2:6" x14ac:dyDescent="0.2">
      <c r="B23" s="2"/>
      <c r="F23" s="2"/>
    </row>
    <row r="24" spans="2:6" x14ac:dyDescent="0.2">
      <c r="B24" s="2"/>
      <c r="F24" s="2"/>
    </row>
    <row r="25" spans="2:6" x14ac:dyDescent="0.2">
      <c r="B25" s="2"/>
      <c r="F25" s="2"/>
    </row>
    <row r="26" spans="2:6" x14ac:dyDescent="0.2">
      <c r="B26" s="2"/>
      <c r="F26" s="2"/>
    </row>
    <row r="27" spans="2:6" x14ac:dyDescent="0.2">
      <c r="B27" s="2"/>
      <c r="F27" s="2"/>
    </row>
    <row r="28" spans="2:6" x14ac:dyDescent="0.2">
      <c r="B28" s="2"/>
      <c r="F28" s="2"/>
    </row>
    <row r="29" spans="2:6" x14ac:dyDescent="0.2">
      <c r="B29" s="2"/>
      <c r="F29" s="2"/>
    </row>
    <row r="30" spans="2:6" x14ac:dyDescent="0.2">
      <c r="B30" s="2"/>
      <c r="F30" s="2"/>
    </row>
    <row r="31" spans="2:6" x14ac:dyDescent="0.2">
      <c r="B31" s="2"/>
      <c r="F31" s="2"/>
    </row>
    <row r="32" spans="2: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</sheetData>
  <phoneticPr fontId="7" type="noConversion"/>
  <hyperlinks>
    <hyperlink ref="P11" r:id="rId1" display="http://var.astro.cz/oejv/issues/oejv0074.pdf"/>
    <hyperlink ref="P12" r:id="rId2" display="http://var.astro.cz/oejv/issues/oejv0074.pdf"/>
    <hyperlink ref="P13" r:id="rId3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2024-02-28T05:51:12Z</dcterms:modified>
</cp:coreProperties>
</file>