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0F9A196-6494-40B0-B73F-46D94AFF21F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6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I37" i="1"/>
  <c r="Q37" i="1"/>
  <c r="E38" i="1"/>
  <c r="F38" i="1"/>
  <c r="G38" i="1"/>
  <c r="Q38" i="1"/>
  <c r="E39" i="1"/>
  <c r="F39" i="1"/>
  <c r="G39" i="1"/>
  <c r="I39" i="1"/>
  <c r="Q39" i="1"/>
  <c r="E40" i="1"/>
  <c r="F40" i="1"/>
  <c r="G40" i="1"/>
  <c r="Q40" i="1"/>
  <c r="E41" i="1"/>
  <c r="F41" i="1"/>
  <c r="G41" i="1"/>
  <c r="Q41" i="1"/>
  <c r="E42" i="1"/>
  <c r="F42" i="1"/>
  <c r="G42" i="1"/>
  <c r="I42" i="1"/>
  <c r="Q42" i="1"/>
  <c r="E43" i="1"/>
  <c r="F43" i="1"/>
  <c r="G43" i="1"/>
  <c r="Q43" i="1"/>
  <c r="E44" i="1"/>
  <c r="F44" i="1"/>
  <c r="G44" i="1"/>
  <c r="I44" i="1"/>
  <c r="Q44" i="1"/>
  <c r="E45" i="1"/>
  <c r="F45" i="1"/>
  <c r="Q45" i="1"/>
  <c r="E46" i="1"/>
  <c r="F46" i="1"/>
  <c r="G46" i="1"/>
  <c r="Q46" i="1"/>
  <c r="E47" i="1"/>
  <c r="F47" i="1"/>
  <c r="G47" i="1"/>
  <c r="Q47" i="1"/>
  <c r="E48" i="1"/>
  <c r="F48" i="1"/>
  <c r="G48" i="1"/>
  <c r="J48" i="1"/>
  <c r="Q48" i="1"/>
  <c r="E49" i="1"/>
  <c r="F49" i="1"/>
  <c r="G49" i="1"/>
  <c r="I49" i="1"/>
  <c r="Q49" i="1"/>
  <c r="E50" i="1"/>
  <c r="F50" i="1"/>
  <c r="G50" i="1"/>
  <c r="I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J54" i="1"/>
  <c r="Q54" i="1"/>
  <c r="E55" i="1"/>
  <c r="F55" i="1"/>
  <c r="G55" i="1"/>
  <c r="I55" i="1"/>
  <c r="Q55" i="1"/>
  <c r="E56" i="1"/>
  <c r="F56" i="1"/>
  <c r="G56" i="1"/>
  <c r="K56" i="1"/>
  <c r="Q56" i="1"/>
  <c r="E57" i="1"/>
  <c r="F57" i="1"/>
  <c r="G57" i="1"/>
  <c r="K57" i="1"/>
  <c r="Q57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J65" i="1"/>
  <c r="Q65" i="1"/>
  <c r="E66" i="1"/>
  <c r="F66" i="1"/>
  <c r="G66" i="1"/>
  <c r="J66" i="1"/>
  <c r="Q66" i="1"/>
  <c r="E67" i="1"/>
  <c r="F67" i="1"/>
  <c r="G67" i="1"/>
  <c r="J67" i="1"/>
  <c r="Q67" i="1"/>
  <c r="E68" i="1"/>
  <c r="F68" i="1"/>
  <c r="G68" i="1"/>
  <c r="J68" i="1"/>
  <c r="Q68" i="1"/>
  <c r="E69" i="1"/>
  <c r="F69" i="1"/>
  <c r="G69" i="1"/>
  <c r="K69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K72" i="1"/>
  <c r="Q72" i="1"/>
  <c r="E73" i="1"/>
  <c r="F73" i="1"/>
  <c r="G73" i="1"/>
  <c r="K73" i="1"/>
  <c r="Q73" i="1"/>
  <c r="E74" i="1"/>
  <c r="F74" i="1"/>
  <c r="G74" i="1"/>
  <c r="K74" i="1"/>
  <c r="Q74" i="1"/>
  <c r="E75" i="1"/>
  <c r="F75" i="1"/>
  <c r="G75" i="1"/>
  <c r="K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K78" i="1"/>
  <c r="Q78" i="1"/>
  <c r="E79" i="1"/>
  <c r="F79" i="1"/>
  <c r="G79" i="1"/>
  <c r="K79" i="1"/>
  <c r="Q79" i="1"/>
  <c r="A11" i="2"/>
  <c r="C11" i="2"/>
  <c r="E11" i="2"/>
  <c r="D11" i="2"/>
  <c r="G11" i="2"/>
  <c r="H11" i="2"/>
  <c r="B11" i="2"/>
  <c r="A12" i="2"/>
  <c r="D12" i="2"/>
  <c r="G12" i="2"/>
  <c r="C12" i="2"/>
  <c r="E12" i="2"/>
  <c r="H12" i="2"/>
  <c r="B12" i="2"/>
  <c r="A13" i="2"/>
  <c r="B13" i="2"/>
  <c r="D13" i="2"/>
  <c r="G13" i="2"/>
  <c r="C13" i="2"/>
  <c r="E13" i="2"/>
  <c r="H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C16" i="2"/>
  <c r="E16" i="2"/>
  <c r="D16" i="2"/>
  <c r="G16" i="2"/>
  <c r="H16" i="2"/>
  <c r="B16" i="2"/>
  <c r="A17" i="2"/>
  <c r="B17" i="2"/>
  <c r="D17" i="2"/>
  <c r="G17" i="2"/>
  <c r="C17" i="2"/>
  <c r="E17" i="2"/>
  <c r="H17" i="2"/>
  <c r="A18" i="2"/>
  <c r="B18" i="2"/>
  <c r="C18" i="2"/>
  <c r="D18" i="2"/>
  <c r="E18" i="2"/>
  <c r="G18" i="2"/>
  <c r="H18" i="2"/>
  <c r="A19" i="2"/>
  <c r="B19" i="2"/>
  <c r="C19" i="2"/>
  <c r="E19" i="2"/>
  <c r="D19" i="2"/>
  <c r="G19" i="2"/>
  <c r="H19" i="2"/>
  <c r="A20" i="2"/>
  <c r="C20" i="2"/>
  <c r="D20" i="2"/>
  <c r="E20" i="2"/>
  <c r="G20" i="2"/>
  <c r="H20" i="2"/>
  <c r="B20" i="2"/>
  <c r="A21" i="2"/>
  <c r="B21" i="2"/>
  <c r="D21" i="2"/>
  <c r="G21" i="2"/>
  <c r="C21" i="2"/>
  <c r="E21" i="2"/>
  <c r="H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C24" i="2"/>
  <c r="E24" i="2"/>
  <c r="D24" i="2"/>
  <c r="G24" i="2"/>
  <c r="H24" i="2"/>
  <c r="B24" i="2"/>
  <c r="A25" i="2"/>
  <c r="B25" i="2"/>
  <c r="D25" i="2"/>
  <c r="G25" i="2"/>
  <c r="C25" i="2"/>
  <c r="E25" i="2"/>
  <c r="H25" i="2"/>
  <c r="A26" i="2"/>
  <c r="B26" i="2"/>
  <c r="C26" i="2"/>
  <c r="D26" i="2"/>
  <c r="E26" i="2"/>
  <c r="G26" i="2"/>
  <c r="H26" i="2"/>
  <c r="A27" i="2"/>
  <c r="B27" i="2"/>
  <c r="C27" i="2"/>
  <c r="E27" i="2"/>
  <c r="D27" i="2"/>
  <c r="G27" i="2"/>
  <c r="H27" i="2"/>
  <c r="A28" i="2"/>
  <c r="C28" i="2"/>
  <c r="D28" i="2"/>
  <c r="E28" i="2"/>
  <c r="G28" i="2"/>
  <c r="H28" i="2"/>
  <c r="B28" i="2"/>
  <c r="A29" i="2"/>
  <c r="B29" i="2"/>
  <c r="D29" i="2"/>
  <c r="G29" i="2"/>
  <c r="C29" i="2"/>
  <c r="E29" i="2"/>
  <c r="H29" i="2"/>
  <c r="A30" i="2"/>
  <c r="D30" i="2"/>
  <c r="G30" i="2"/>
  <c r="C30" i="2"/>
  <c r="E30" i="2"/>
  <c r="H30" i="2"/>
  <c r="B30" i="2"/>
  <c r="A31" i="2"/>
  <c r="D31" i="2"/>
  <c r="G31" i="2"/>
  <c r="C31" i="2"/>
  <c r="E31" i="2"/>
  <c r="H31" i="2"/>
  <c r="B31" i="2"/>
  <c r="A32" i="2"/>
  <c r="C32" i="2"/>
  <c r="E32" i="2"/>
  <c r="D32" i="2"/>
  <c r="G32" i="2"/>
  <c r="H32" i="2"/>
  <c r="B32" i="2"/>
  <c r="A33" i="2"/>
  <c r="B33" i="2"/>
  <c r="D33" i="2"/>
  <c r="G33" i="2"/>
  <c r="C33" i="2"/>
  <c r="E33" i="2"/>
  <c r="H33" i="2"/>
  <c r="A34" i="2"/>
  <c r="B34" i="2"/>
  <c r="C34" i="2"/>
  <c r="D34" i="2"/>
  <c r="G34" i="2"/>
  <c r="H34" i="2"/>
  <c r="A35" i="2"/>
  <c r="B35" i="2"/>
  <c r="C35" i="2"/>
  <c r="E35" i="2"/>
  <c r="D35" i="2"/>
  <c r="G35" i="2"/>
  <c r="H35" i="2"/>
  <c r="A36" i="2"/>
  <c r="C36" i="2"/>
  <c r="D36" i="2"/>
  <c r="E36" i="2"/>
  <c r="G36" i="2"/>
  <c r="H36" i="2"/>
  <c r="B36" i="2"/>
  <c r="A37" i="2"/>
  <c r="B37" i="2"/>
  <c r="D37" i="2"/>
  <c r="G37" i="2"/>
  <c r="C37" i="2"/>
  <c r="E37" i="2"/>
  <c r="H37" i="2"/>
  <c r="A38" i="2"/>
  <c r="D38" i="2"/>
  <c r="G38" i="2"/>
  <c r="C38" i="2"/>
  <c r="E38" i="2"/>
  <c r="H38" i="2"/>
  <c r="B38" i="2"/>
  <c r="A39" i="2"/>
  <c r="D39" i="2"/>
  <c r="G39" i="2"/>
  <c r="C39" i="2"/>
  <c r="E39" i="2"/>
  <c r="H39" i="2"/>
  <c r="B39" i="2"/>
  <c r="A40" i="2"/>
  <c r="C40" i="2"/>
  <c r="E40" i="2"/>
  <c r="D40" i="2"/>
  <c r="G40" i="2"/>
  <c r="H40" i="2"/>
  <c r="B40" i="2"/>
  <c r="A41" i="2"/>
  <c r="B41" i="2"/>
  <c r="D41" i="2"/>
  <c r="G41" i="2"/>
  <c r="C41" i="2"/>
  <c r="E41" i="2"/>
  <c r="H41" i="2"/>
  <c r="A42" i="2"/>
  <c r="B42" i="2"/>
  <c r="C42" i="2"/>
  <c r="D42" i="2"/>
  <c r="E42" i="2"/>
  <c r="G42" i="2"/>
  <c r="H42" i="2"/>
  <c r="A43" i="2"/>
  <c r="B43" i="2"/>
  <c r="C43" i="2"/>
  <c r="E43" i="2"/>
  <c r="D43" i="2"/>
  <c r="G43" i="2"/>
  <c r="H43" i="2"/>
  <c r="A44" i="2"/>
  <c r="C44" i="2"/>
  <c r="D44" i="2"/>
  <c r="G44" i="2"/>
  <c r="H44" i="2"/>
  <c r="B44" i="2"/>
  <c r="A45" i="2"/>
  <c r="B45" i="2"/>
  <c r="D45" i="2"/>
  <c r="G45" i="2"/>
  <c r="C45" i="2"/>
  <c r="E45" i="2"/>
  <c r="H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C48" i="2"/>
  <c r="E48" i="2"/>
  <c r="D48" i="2"/>
  <c r="G48" i="2"/>
  <c r="H48" i="2"/>
  <c r="B48" i="2"/>
  <c r="A49" i="2"/>
  <c r="B49" i="2"/>
  <c r="D49" i="2"/>
  <c r="G49" i="2"/>
  <c r="C49" i="2"/>
  <c r="E49" i="2"/>
  <c r="H49" i="2"/>
  <c r="A50" i="2"/>
  <c r="B50" i="2"/>
  <c r="C50" i="2"/>
  <c r="D50" i="2"/>
  <c r="E50" i="2"/>
  <c r="G50" i="2"/>
  <c r="H50" i="2"/>
  <c r="A51" i="2"/>
  <c r="B51" i="2"/>
  <c r="C51" i="2"/>
  <c r="E51" i="2"/>
  <c r="D51" i="2"/>
  <c r="G51" i="2"/>
  <c r="H51" i="2"/>
  <c r="A52" i="2"/>
  <c r="C52" i="2"/>
  <c r="D52" i="2"/>
  <c r="E52" i="2"/>
  <c r="G52" i="2"/>
  <c r="H52" i="2"/>
  <c r="B52" i="2"/>
  <c r="A53" i="2"/>
  <c r="B53" i="2"/>
  <c r="D53" i="2"/>
  <c r="G53" i="2"/>
  <c r="C53" i="2"/>
  <c r="E53" i="2"/>
  <c r="H53" i="2"/>
  <c r="A54" i="2"/>
  <c r="D54" i="2"/>
  <c r="G54" i="2"/>
  <c r="C54" i="2"/>
  <c r="E54" i="2"/>
  <c r="H54" i="2"/>
  <c r="B54" i="2"/>
  <c r="A55" i="2"/>
  <c r="D55" i="2"/>
  <c r="G55" i="2"/>
  <c r="C55" i="2"/>
  <c r="E55" i="2"/>
  <c r="H55" i="2"/>
  <c r="B55" i="2"/>
  <c r="A56" i="2"/>
  <c r="C56" i="2"/>
  <c r="E56" i="2"/>
  <c r="D56" i="2"/>
  <c r="G56" i="2"/>
  <c r="H56" i="2"/>
  <c r="B56" i="2"/>
  <c r="A57" i="2"/>
  <c r="B57" i="2"/>
  <c r="D57" i="2"/>
  <c r="G57" i="2"/>
  <c r="C57" i="2"/>
  <c r="E57" i="2"/>
  <c r="H57" i="2"/>
  <c r="A58" i="2"/>
  <c r="B58" i="2"/>
  <c r="C58" i="2"/>
  <c r="D58" i="2"/>
  <c r="E58" i="2"/>
  <c r="G58" i="2"/>
  <c r="H58" i="2"/>
  <c r="A59" i="2"/>
  <c r="B59" i="2"/>
  <c r="C59" i="2"/>
  <c r="E59" i="2"/>
  <c r="D59" i="2"/>
  <c r="G59" i="2"/>
  <c r="H59" i="2"/>
  <c r="A60" i="2"/>
  <c r="C60" i="2"/>
  <c r="D60" i="2"/>
  <c r="E60" i="2"/>
  <c r="G60" i="2"/>
  <c r="H60" i="2"/>
  <c r="B60" i="2"/>
  <c r="A61" i="2"/>
  <c r="B61" i="2"/>
  <c r="D61" i="2"/>
  <c r="G61" i="2"/>
  <c r="C61" i="2"/>
  <c r="E61" i="2"/>
  <c r="H61" i="2"/>
  <c r="A62" i="2"/>
  <c r="D62" i="2"/>
  <c r="G62" i="2"/>
  <c r="C62" i="2"/>
  <c r="E62" i="2"/>
  <c r="H62" i="2"/>
  <c r="B62" i="2"/>
  <c r="A63" i="2"/>
  <c r="D63" i="2"/>
  <c r="G63" i="2"/>
  <c r="C63" i="2"/>
  <c r="E63" i="2"/>
  <c r="H63" i="2"/>
  <c r="B63" i="2"/>
  <c r="A64" i="2"/>
  <c r="C64" i="2"/>
  <c r="E64" i="2"/>
  <c r="D64" i="2"/>
  <c r="G64" i="2"/>
  <c r="H64" i="2"/>
  <c r="B64" i="2"/>
  <c r="A65" i="2"/>
  <c r="B65" i="2"/>
  <c r="D65" i="2"/>
  <c r="G65" i="2"/>
  <c r="C65" i="2"/>
  <c r="E65" i="2"/>
  <c r="H65" i="2"/>
  <c r="A66" i="2"/>
  <c r="B66" i="2"/>
  <c r="C66" i="2"/>
  <c r="E66" i="2"/>
  <c r="D66" i="2"/>
  <c r="G66" i="2"/>
  <c r="H66" i="2"/>
  <c r="I41" i="1"/>
  <c r="J41" i="1"/>
  <c r="I47" i="1"/>
  <c r="J47" i="1"/>
  <c r="I43" i="1"/>
  <c r="N43" i="1"/>
  <c r="I40" i="1"/>
  <c r="J40" i="1"/>
  <c r="I46" i="1"/>
  <c r="J46" i="1"/>
  <c r="H38" i="1"/>
  <c r="I38" i="1"/>
  <c r="E34" i="2"/>
  <c r="E44" i="2"/>
  <c r="C11" i="1"/>
  <c r="C12" i="1"/>
  <c r="C16" i="1" l="1"/>
  <c r="D18" i="1" s="1"/>
  <c r="O39" i="1"/>
  <c r="O56" i="1"/>
  <c r="O25" i="1"/>
  <c r="O59" i="1"/>
  <c r="O65" i="1"/>
  <c r="O57" i="1"/>
  <c r="O58" i="1"/>
  <c r="O46" i="1"/>
  <c r="O51" i="1"/>
  <c r="O22" i="1"/>
  <c r="O60" i="1"/>
  <c r="O29" i="1"/>
  <c r="O63" i="1"/>
  <c r="O69" i="1"/>
  <c r="O24" i="1"/>
  <c r="O62" i="1"/>
  <c r="O41" i="1"/>
  <c r="O37" i="1"/>
  <c r="O73" i="1"/>
  <c r="O34" i="1"/>
  <c r="O75" i="1"/>
  <c r="O74" i="1"/>
  <c r="O27" i="1"/>
  <c r="O52" i="1"/>
  <c r="O35" i="1"/>
  <c r="O26" i="1"/>
  <c r="O64" i="1"/>
  <c r="O33" i="1"/>
  <c r="O67" i="1"/>
  <c r="O42" i="1"/>
  <c r="O28" i="1"/>
  <c r="O66" i="1"/>
  <c r="O53" i="1"/>
  <c r="O68" i="1"/>
  <c r="O71" i="1"/>
  <c r="O32" i="1"/>
  <c r="O43" i="1"/>
  <c r="O23" i="1"/>
  <c r="O77" i="1"/>
  <c r="O76" i="1"/>
  <c r="O45" i="1"/>
  <c r="O40" i="1"/>
  <c r="O61" i="1"/>
  <c r="O54" i="1"/>
  <c r="O30" i="1"/>
  <c r="O70" i="1"/>
  <c r="O72" i="1"/>
  <c r="O36" i="1"/>
  <c r="O79" i="1"/>
  <c r="O48" i="1"/>
  <c r="O31" i="1"/>
  <c r="O55" i="1"/>
  <c r="O49" i="1"/>
  <c r="O44" i="1"/>
  <c r="O47" i="1"/>
  <c r="O78" i="1"/>
  <c r="O38" i="1"/>
  <c r="O50" i="1"/>
  <c r="O21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<sst xmlns="http://schemas.openxmlformats.org/spreadsheetml/2006/main" count="610" uniqueCount="327">
  <si>
    <t>FF Ori / GSC 00118-00718</t>
  </si>
  <si>
    <t>System Type:</t>
  </si>
  <si>
    <t>EA/SD:</t>
  </si>
  <si>
    <t>Red flare?  See IBVS 3925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</si>
  <si>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</si>
  <si>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</si>
  <si>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</si>
  <si>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</si>
  <si>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</si>
  <si>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</si>
  <si>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</si>
  <si>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</si>
  <si>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</si>
  <si>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</si>
  <si>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</si>
  <si>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</si>
  <si>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</si>
  <si>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</si>
  <si>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</si>
  <si>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</si>
  <si>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</si>
  <si>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</si>
  <si>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</si>
  <si>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</si>
  <si>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</si>
  <si>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</si>
  <si>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</si>
  <si>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</si>
  <si>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</si>
  <si>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</si>
  <si>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</si>
  <si>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</si>
  <si>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</si>
  <si>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</si>
  <si>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</si>
  <si>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</si>
  <si>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</si>
  <si>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</si>
  <si>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</si>
  <si>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</si>
  <si>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</si>
  <si>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</si>
  <si>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</si>
  <si>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</si>
  <si>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Schneller, 1938</t>
  </si>
  <si>
    <t> AA 27.156 </t>
  </si>
  <si>
    <t>I</t>
  </si>
  <si>
    <t>Whitney, 1948</t>
  </si>
  <si>
    <t> HA 113.75 </t>
  </si>
  <si>
    <t>GCVS 4</t>
  </si>
  <si>
    <t> AAC 5.77 </t>
  </si>
  <si>
    <t>IBVS 0046</t>
  </si>
  <si>
    <t>Kreiner, Mistecka, 1980</t>
  </si>
  <si>
    <t>BAV-M 39</t>
  </si>
  <si>
    <t>v</t>
  </si>
  <si>
    <t>K</t>
  </si>
  <si>
    <t>BBSAG Bull.87</t>
  </si>
  <si>
    <t>Peter H</t>
  </si>
  <si>
    <t>B</t>
  </si>
  <si>
    <t>BBSAG Bull.91</t>
  </si>
  <si>
    <t>BAV-M 52</t>
  </si>
  <si>
    <t>Danielkiewicz-Krosniak, 1990</t>
  </si>
  <si>
    <t>BBSAG Bull.94</t>
  </si>
  <si>
    <t>BBSAG Bull.97</t>
  </si>
  <si>
    <t>Blaettler E</t>
  </si>
  <si>
    <t>BBSAG Bull.100</t>
  </si>
  <si>
    <t>BAV-M 62</t>
  </si>
  <si>
    <t>phe</t>
  </si>
  <si>
    <t>BBSAG Bull.103</t>
  </si>
  <si>
    <t>Paschke A</t>
  </si>
  <si>
    <t>BBSAG Bull.106</t>
  </si>
  <si>
    <t>BBSAG Bull.108</t>
  </si>
  <si>
    <t>BBSAG Bull.114</t>
  </si>
  <si>
    <t>BBSAG Bull.117</t>
  </si>
  <si>
    <t>ccd</t>
  </si>
  <si>
    <t>Diethelm R</t>
  </si>
  <si>
    <t>IBVS 5502</t>
  </si>
  <si>
    <t>IBVS 5583</t>
  </si>
  <si>
    <t>IBVS 5672</t>
  </si>
  <si>
    <t>IBVS 5894</t>
  </si>
  <si>
    <t>IBVS 5920</t>
  </si>
  <si>
    <t>IBVS 5931</t>
  </si>
  <si>
    <t>IBVS 5960</t>
  </si>
  <si>
    <t>IBVS 3925</t>
  </si>
  <si>
    <t>IBVS 5874</t>
  </si>
  <si>
    <t>IBVS 5918</t>
  </si>
  <si>
    <t>IBVS 5984</t>
  </si>
  <si>
    <t>JAVSO..42..426</t>
  </si>
  <si>
    <t>JAVSO..44…69</t>
  </si>
  <si>
    <t>OEJV 0074</t>
  </si>
  <si>
    <t>OEJV 0137</t>
  </si>
  <si>
    <t>VSB 47 </t>
  </si>
  <si>
    <t>VSB 48 </t>
  </si>
  <si>
    <t>VSB 56 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</si>
  <si>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</si>
  <si>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</si>
  <si>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</si>
  <si>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</si>
  <si>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</si>
  <si>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</si>
  <si>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</si>
  <si>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</si>
  <si>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2425890.40 </t>
  </si>
  <si>
    <t> 05.10.1929 21:36 </t>
  </si>
  <si>
    <t> 0.00 </t>
  </si>
  <si>
    <t>V </t>
  </si>
  <si>
    <t> K.Kordylewski </t>
  </si>
  <si>
    <t> SAC 9.93 </t>
  </si>
  <si>
    <t>2430693.727 </t>
  </si>
  <si>
    <t> 30.11.1942 05:26 </t>
  </si>
  <si>
    <t> 0.011 </t>
  </si>
  <si>
    <t>F </t>
  </si>
  <si>
    <t> B.S.Whitney </t>
  </si>
  <si>
    <t> AJ 53.14 </t>
  </si>
  <si>
    <t>2431497.600 </t>
  </si>
  <si>
    <t> 11.02.1945 02:24 </t>
  </si>
  <si>
    <t>2431772.793 </t>
  </si>
  <si>
    <t> 13.11.1945 07:01 </t>
  </si>
  <si>
    <t> 0.004 </t>
  </si>
  <si>
    <t>2432216.367 </t>
  </si>
  <si>
    <t> 30.01.1947 20:48 </t>
  </si>
  <si>
    <t> 0.000 </t>
  </si>
  <si>
    <t> SAC 19.75 </t>
  </si>
  <si>
    <t>2438446.39 </t>
  </si>
  <si>
    <t> 20.02.1964 21:21 </t>
  </si>
  <si>
    <t> 0.01 </t>
  </si>
  <si>
    <t>IBVS 46 </t>
  </si>
  <si>
    <t>2442833.289 </t>
  </si>
  <si>
    <t> 24.02.1976 18:56 </t>
  </si>
  <si>
    <t> 0.009 </t>
  </si>
  <si>
    <t> M.Winiarski </t>
  </si>
  <si>
    <t> AN 301.327 </t>
  </si>
  <si>
    <t>2446110.347 </t>
  </si>
  <si>
    <t> 13.02.1985 20:19 </t>
  </si>
  <si>
    <t> 0.019 </t>
  </si>
  <si>
    <t> H.Grzelczyk </t>
  </si>
  <si>
    <t>BAVM 39 </t>
  </si>
  <si>
    <t>2447209.345 </t>
  </si>
  <si>
    <t> 17.02.1988 20:16 </t>
  </si>
  <si>
    <t> 0.029 </t>
  </si>
  <si>
    <t> H.Peter </t>
  </si>
  <si>
    <t> BBS 87 </t>
  </si>
  <si>
    <t>2447553.328 </t>
  </si>
  <si>
    <t> 26.01.1989 19:52 </t>
  </si>
  <si>
    <t> 0.012 </t>
  </si>
  <si>
    <t> BBS 91 </t>
  </si>
  <si>
    <t>2447553.331 </t>
  </si>
  <si>
    <t> 26.01.1989 19:56 </t>
  </si>
  <si>
    <t> 0.015 </t>
  </si>
  <si>
    <t> Moschner&amp;Kleikamp </t>
  </si>
  <si>
    <t>BAVM 52 </t>
  </si>
  <si>
    <t>2447562.389 </t>
  </si>
  <si>
    <t> 04.02.1989 21:20 </t>
  </si>
  <si>
    <t> 0.021 </t>
  </si>
  <si>
    <t>2447924.472 </t>
  </si>
  <si>
    <t> 01.02.1990 23:19 </t>
  </si>
  <si>
    <t> -0.001 </t>
  </si>
  <si>
    <t> BBS 94 </t>
  </si>
  <si>
    <t>2448308.317 </t>
  </si>
  <si>
    <t> 20.02.1991 19:36 </t>
  </si>
  <si>
    <t> 0.013 </t>
  </si>
  <si>
    <t> E.Blättler </t>
  </si>
  <si>
    <t> BBS 97 </t>
  </si>
  <si>
    <t>2448652.330 </t>
  </si>
  <si>
    <t> 30.01.1992 19:55 </t>
  </si>
  <si>
    <t> 0.026 </t>
  </si>
  <si>
    <t> BBS 100 </t>
  </si>
  <si>
    <t>2448916.6576 </t>
  </si>
  <si>
    <t> 21.10.1992 03:46 </t>
  </si>
  <si>
    <t> 0.0172 </t>
  </si>
  <si>
    <t>E </t>
  </si>
  <si>
    <t>?</t>
  </si>
  <si>
    <t> M.Zakirov </t>
  </si>
  <si>
    <t>IBVS 3925 </t>
  </si>
  <si>
    <t>2449005.3723 </t>
  </si>
  <si>
    <t> 17.01.1993 20:56 </t>
  </si>
  <si>
    <t> 0.0162 </t>
  </si>
  <si>
    <t>o</t>
  </si>
  <si>
    <t> F.Agerer </t>
  </si>
  <si>
    <t>BAVM 62 </t>
  </si>
  <si>
    <t>2449005.380 </t>
  </si>
  <si>
    <t> 17.01.1993 21:07 </t>
  </si>
  <si>
    <t> 0.024 </t>
  </si>
  <si>
    <t> A.Paschke </t>
  </si>
  <si>
    <t> BBS 103 </t>
  </si>
  <si>
    <t>2449005.389 </t>
  </si>
  <si>
    <t> 17.01.1993 21:20 </t>
  </si>
  <si>
    <t> 0.033 </t>
  </si>
  <si>
    <t>2449416.371 </t>
  </si>
  <si>
    <t> 04.03.1994 20:54 </t>
  </si>
  <si>
    <t> BBS 106 </t>
  </si>
  <si>
    <t>2449789.334 </t>
  </si>
  <si>
    <t> 12.03.1995 20:00 </t>
  </si>
  <si>
    <t> BBS 108 </t>
  </si>
  <si>
    <t>2450486.382 </t>
  </si>
  <si>
    <t> 06.02.1997 21:10 </t>
  </si>
  <si>
    <t> 0.017 </t>
  </si>
  <si>
    <t> BBS 114 </t>
  </si>
  <si>
    <t>2450859.3486 </t>
  </si>
  <si>
    <t> 14.02.1998 20:21 </t>
  </si>
  <si>
    <t> 0.0160 </t>
  </si>
  <si>
    <t> R.Diethelm </t>
  </si>
  <si>
    <t> BBS 117 </t>
  </si>
  <si>
    <t>2450859.362 </t>
  </si>
  <si>
    <t> 14.02.1998 20:41 </t>
  </si>
  <si>
    <t>2452682.550 </t>
  </si>
  <si>
    <t> 12.02.2003 01:12 </t>
  </si>
  <si>
    <t> 0.020 </t>
  </si>
  <si>
    <t> S.Dvorak </t>
  </si>
  <si>
    <t>IBVS 5502 </t>
  </si>
  <si>
    <t>2453028.3631 </t>
  </si>
  <si>
    <t> 23.01.2004 20:42 </t>
  </si>
  <si>
    <t> 0.0227 </t>
  </si>
  <si>
    <t> M.Zejda </t>
  </si>
  <si>
    <t>IBVS 5583 </t>
  </si>
  <si>
    <t>2453417.6301 </t>
  </si>
  <si>
    <t> 16.02.2005 03:07 </t>
  </si>
  <si>
    <t> 0.0271 </t>
  </si>
  <si>
    <t> R.Nelson </t>
  </si>
  <si>
    <t>IBVS 5672 </t>
  </si>
  <si>
    <t>2453763.44284 </t>
  </si>
  <si>
    <t> 27.01.2006 22:37 </t>
  </si>
  <si>
    <t> 0.02972 </t>
  </si>
  <si>
    <t>C </t>
  </si>
  <si>
    <t> L.Šmelcer </t>
  </si>
  <si>
    <t>OEJV 0074 </t>
  </si>
  <si>
    <t>2454154.5213 </t>
  </si>
  <si>
    <t> 23.02.2007 00:30 </t>
  </si>
  <si>
    <t> 0.0350 </t>
  </si>
  <si>
    <t> P.Zasche (ESA INTEGRAL) </t>
  </si>
  <si>
    <t>IBVS 5931 </t>
  </si>
  <si>
    <t>2454330.1376 </t>
  </si>
  <si>
    <t> 17.08.2007 15:18 </t>
  </si>
  <si>
    <t> 0.0305 </t>
  </si>
  <si>
    <t>2454500.3287 </t>
  </si>
  <si>
    <t> 03.02.2008 19:53 </t>
  </si>
  <si>
    <t> 0.0323 </t>
  </si>
  <si>
    <t> F.Walter </t>
  </si>
  <si>
    <t>BAVM 201 </t>
  </si>
  <si>
    <t>2454507.5728 </t>
  </si>
  <si>
    <t> 11.02.2008 01:44 </t>
  </si>
  <si>
    <t> 0.0343 </t>
  </si>
  <si>
    <t>2454843.4298 </t>
  </si>
  <si>
    <t> 11.01.2009 22:18 </t>
  </si>
  <si>
    <t> 0.0391 </t>
  </si>
  <si>
    <t> P.Frank </t>
  </si>
  <si>
    <t>BAVM 209 </t>
  </si>
  <si>
    <t>2454860.623 </t>
  </si>
  <si>
    <t> 29.01.2009 02:57 </t>
  </si>
  <si>
    <t> 0.032 </t>
  </si>
  <si>
    <t>IBVS 5894 </t>
  </si>
  <si>
    <t>2455144.8754 </t>
  </si>
  <si>
    <t> 09.11.2009 09:00 </t>
  </si>
  <si>
    <t> 0.0325 </t>
  </si>
  <si>
    <t>IBVS 5920 </t>
  </si>
  <si>
    <t>2455472.5706 </t>
  </si>
  <si>
    <t> 03.10.2010 01:41 </t>
  </si>
  <si>
    <t> 0.0228 </t>
  </si>
  <si>
    <t> U.Schmidt </t>
  </si>
  <si>
    <t>BAVM 215 </t>
  </si>
  <si>
    <t>2455517.8463 </t>
  </si>
  <si>
    <t> 17.11.2010 08:18 </t>
  </si>
  <si>
    <t> 0.0354 </t>
  </si>
  <si>
    <t>IBVS 5960 </t>
  </si>
  <si>
    <t>2456694.6945 </t>
  </si>
  <si>
    <t> 06.02.2014 04:40 </t>
  </si>
  <si>
    <t> 0.0430 </t>
  </si>
  <si>
    <t> G.Frey </t>
  </si>
  <si>
    <t> JAAVSO 42;426 </t>
  </si>
  <si>
    <t>2426417.260 </t>
  </si>
  <si>
    <t> 16.03.1931 18:14 </t>
  </si>
  <si>
    <t> 0.001 </t>
  </si>
  <si>
    <t>2426426.309 </t>
  </si>
  <si>
    <t> 25.03.1931 19:24 </t>
  </si>
  <si>
    <t> -0.002 </t>
  </si>
  <si>
    <t>2427161.382 </t>
  </si>
  <si>
    <t> 29.03.1933 21:10 </t>
  </si>
  <si>
    <t> S.Piotrowski </t>
  </si>
  <si>
    <t>2427811.363 </t>
  </si>
  <si>
    <t> 08.01.1935 20:42 </t>
  </si>
  <si>
    <t>2428548.253 </t>
  </si>
  <si>
    <t> 14.01.1937 18:04 </t>
  </si>
  <si>
    <t> 0.008 </t>
  </si>
  <si>
    <t>2428812.592 </t>
  </si>
  <si>
    <t> 06.10.1937 02:12 </t>
  </si>
  <si>
    <t> 0.010 </t>
  </si>
  <si>
    <t>2430793.298 </t>
  </si>
  <si>
    <t> 09.03.1943 19:09 </t>
  </si>
  <si>
    <t> 0.003 </t>
  </si>
  <si>
    <t>2431075.720 </t>
  </si>
  <si>
    <t> 17.12.1943 05:16 </t>
  </si>
  <si>
    <t> -0.017 </t>
  </si>
  <si>
    <t> S.Gaposchkin </t>
  </si>
  <si>
    <t>2431146.350 </t>
  </si>
  <si>
    <t> 25.02.1944 20:24 </t>
  </si>
  <si>
    <t>2432609.242 </t>
  </si>
  <si>
    <t> 27.02.1948 17:48 </t>
  </si>
  <si>
    <t> -0.009 </t>
  </si>
  <si>
    <t> A.Szczepanowska </t>
  </si>
  <si>
    <t>2433688.314 </t>
  </si>
  <si>
    <t> 10.02.1951 19:32 </t>
  </si>
  <si>
    <t>2451158.083 </t>
  </si>
  <si>
    <t> 10.12.1998 13:59 </t>
  </si>
  <si>
    <t> 0.014 </t>
  </si>
  <si>
    <t> S.Kiyota </t>
  </si>
  <si>
    <t>2454503.9468 </t>
  </si>
  <si>
    <t> 07.02.2008 10:43 </t>
  </si>
  <si>
    <t> 0.0294 </t>
  </si>
  <si>
    <t>Ic</t>
  </si>
  <si>
    <t> K.Nakajima </t>
  </si>
  <si>
    <t>2455628.2897 </t>
  </si>
  <si>
    <t> 07.03.2011 18:57 </t>
  </si>
  <si>
    <t> 0.0369 </t>
  </si>
  <si>
    <t>R</t>
  </si>
  <si>
    <t>OEJV 0137 </t>
  </si>
  <si>
    <t>2455628.2912 </t>
  </si>
  <si>
    <t> 07.03.2011 18:59 </t>
  </si>
  <si>
    <t> 0.0384 </t>
  </si>
  <si>
    <t>2456299.9712 </t>
  </si>
  <si>
    <t> 07.01.2013 11:18 </t>
  </si>
  <si>
    <t> 0.0140 </t>
  </si>
  <si>
    <t> K.Nagai </t>
  </si>
  <si>
    <t>2456299.9875 </t>
  </si>
  <si>
    <t> 07.01.2013 11:42 </t>
  </si>
  <si>
    <t> 0.0303 </t>
  </si>
  <si>
    <t>2456299.9895 </t>
  </si>
  <si>
    <t> 07.01.2013 11:44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</si>
</sst>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</cellStyleXfs>
  <cellXfs count="6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166" fontId="0" fillId="0" borderId="0" xfId="0" applyNumberForma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left"/>
    </xf>
    <xf numFmtId="0" fontId="1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top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4" fillId="2" borderId="11" xfId="5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FF Ori - O-C Diagr.</a:t>
            </a:r>
          </a:p>
        </c:rich>
      </c:tx>
      <c:layout>
        <c:manualLayout>
          <c:xMode val="edge"/>
          <c:yMode val="edge"/>
          <c:x val="0.368141964555315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98243395882361"/>
          <c:y val="0.23584978088695488"/>
          <c:w val="0.791151126202231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-3494</c:v>
                </c:pt>
                <c:pt idx="1">
                  <c:v>-3203</c:v>
                </c:pt>
                <c:pt idx="2">
                  <c:v>-3198</c:v>
                </c:pt>
                <c:pt idx="3">
                  <c:v>-2792</c:v>
                </c:pt>
                <c:pt idx="4">
                  <c:v>-2433</c:v>
                </c:pt>
                <c:pt idx="5">
                  <c:v>-2026</c:v>
                </c:pt>
                <c:pt idx="6">
                  <c:v>-1880</c:v>
                </c:pt>
                <c:pt idx="7">
                  <c:v>-841</c:v>
                </c:pt>
                <c:pt idx="8">
                  <c:v>-786</c:v>
                </c:pt>
                <c:pt idx="9">
                  <c:v>-630</c:v>
                </c:pt>
                <c:pt idx="10">
                  <c:v>-591</c:v>
                </c:pt>
                <c:pt idx="11">
                  <c:v>-397</c:v>
                </c:pt>
                <c:pt idx="12">
                  <c:v>-245</c:v>
                </c:pt>
                <c:pt idx="13">
                  <c:v>0</c:v>
                </c:pt>
                <c:pt idx="14">
                  <c:v>217</c:v>
                </c:pt>
                <c:pt idx="15">
                  <c:v>813</c:v>
                </c:pt>
                <c:pt idx="16">
                  <c:v>3441</c:v>
                </c:pt>
                <c:pt idx="17">
                  <c:v>5864</c:v>
                </c:pt>
                <c:pt idx="18">
                  <c:v>7674</c:v>
                </c:pt>
                <c:pt idx="19">
                  <c:v>8281</c:v>
                </c:pt>
                <c:pt idx="20">
                  <c:v>8471</c:v>
                </c:pt>
                <c:pt idx="21">
                  <c:v>8471</c:v>
                </c:pt>
                <c:pt idx="22">
                  <c:v>8471</c:v>
                </c:pt>
                <c:pt idx="23">
                  <c:v>8476</c:v>
                </c:pt>
                <c:pt idx="24">
                  <c:v>8676</c:v>
                </c:pt>
                <c:pt idx="25">
                  <c:v>8888</c:v>
                </c:pt>
                <c:pt idx="26">
                  <c:v>9078</c:v>
                </c:pt>
                <c:pt idx="27">
                  <c:v>9273</c:v>
                </c:pt>
                <c:pt idx="28">
                  <c:v>9273</c:v>
                </c:pt>
                <c:pt idx="29">
                  <c:v>9273</c:v>
                </c:pt>
                <c:pt idx="30">
                  <c:v>9500</c:v>
                </c:pt>
                <c:pt idx="31">
                  <c:v>9706</c:v>
                </c:pt>
                <c:pt idx="32">
                  <c:v>10091</c:v>
                </c:pt>
                <c:pt idx="33">
                  <c:v>10297</c:v>
                </c:pt>
                <c:pt idx="34">
                  <c:v>10297</c:v>
                </c:pt>
                <c:pt idx="35">
                  <c:v>11304</c:v>
                </c:pt>
                <c:pt idx="36">
                  <c:v>11495</c:v>
                </c:pt>
                <c:pt idx="37">
                  <c:v>11710</c:v>
                </c:pt>
                <c:pt idx="38">
                  <c:v>12507</c:v>
                </c:pt>
                <c:pt idx="39">
                  <c:v>12664</c:v>
                </c:pt>
                <c:pt idx="40">
                  <c:v>12117</c:v>
                </c:pt>
                <c:pt idx="41">
                  <c:v>12214</c:v>
                </c:pt>
                <c:pt idx="42">
                  <c:v>12312</c:v>
                </c:pt>
                <c:pt idx="43">
                  <c:v>12870</c:v>
                </c:pt>
                <c:pt idx="44">
                  <c:v>9224</c:v>
                </c:pt>
                <c:pt idx="45">
                  <c:v>12308</c:v>
                </c:pt>
                <c:pt idx="46">
                  <c:v>12497.5</c:v>
                </c:pt>
                <c:pt idx="47">
                  <c:v>12845</c:v>
                </c:pt>
                <c:pt idx="48">
                  <c:v>13520</c:v>
                </c:pt>
                <c:pt idx="49">
                  <c:v>13726</c:v>
                </c:pt>
                <c:pt idx="50">
                  <c:v>11901</c:v>
                </c:pt>
                <c:pt idx="51">
                  <c:v>12931</c:v>
                </c:pt>
                <c:pt idx="52">
                  <c:v>12931</c:v>
                </c:pt>
                <c:pt idx="53">
                  <c:v>10462</c:v>
                </c:pt>
                <c:pt idx="54">
                  <c:v>12310</c:v>
                </c:pt>
                <c:pt idx="55">
                  <c:v>13302</c:v>
                </c:pt>
                <c:pt idx="56">
                  <c:v>13302</c:v>
                </c:pt>
                <c:pt idx="57">
                  <c:v>13302</c:v>
                </c:pt>
                <c:pt idx="58">
                  <c:v>14340</c:v>
                </c:pt>
              </c:numCache>
            </c:numRef>
          </c:xVal>
          <c:yVal>
            <c:numRef>
              <c:f>Active!$H$21:$H$79</c:f>
              <c:numCache>
                <c:formatCode>General</c:formatCode>
                <c:ptCount val="59"/>
                <c:pt idx="0">
                  <c:v>3.8560000029974617E-3</c:v>
                </c:pt>
                <c:pt idx="1">
                  <c:v>1.3719999988097697E-3</c:v>
                </c:pt>
                <c:pt idx="2">
                  <c:v>-2.2479999970528297E-3</c:v>
                </c:pt>
                <c:pt idx="3">
                  <c:v>-1.9919999976991676E-3</c:v>
                </c:pt>
                <c:pt idx="4">
                  <c:v>8.9200000365963206E-4</c:v>
                </c:pt>
                <c:pt idx="5">
                  <c:v>7.6240000016696285E-3</c:v>
                </c:pt>
                <c:pt idx="6">
                  <c:v>1.0120000002643792E-2</c:v>
                </c:pt>
                <c:pt idx="7">
                  <c:v>1.0684000000765081E-2</c:v>
                </c:pt>
                <c:pt idx="8">
                  <c:v>2.8640000018640421E-3</c:v>
                </c:pt>
                <c:pt idx="9">
                  <c:v>-1.6879999995580874E-2</c:v>
                </c:pt>
                <c:pt idx="10">
                  <c:v>2.683999999135267E-3</c:v>
                </c:pt>
                <c:pt idx="11">
                  <c:v>1.102800000080606E-2</c:v>
                </c:pt>
                <c:pt idx="12">
                  <c:v>4.3800000021292362E-3</c:v>
                </c:pt>
                <c:pt idx="13">
                  <c:v>0</c:v>
                </c:pt>
                <c:pt idx="14">
                  <c:v>-8.7080000012065284E-3</c:v>
                </c:pt>
                <c:pt idx="15">
                  <c:v>-9.0120000022579916E-3</c:v>
                </c:pt>
                <c:pt idx="17">
                  <c:v>9.2640000002575107E-3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86-4A8C-A45E-FD54D270E2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-3494</c:v>
                </c:pt>
                <c:pt idx="1">
                  <c:v>-3203</c:v>
                </c:pt>
                <c:pt idx="2">
                  <c:v>-3198</c:v>
                </c:pt>
                <c:pt idx="3">
                  <c:v>-2792</c:v>
                </c:pt>
                <c:pt idx="4">
                  <c:v>-2433</c:v>
                </c:pt>
                <c:pt idx="5">
                  <c:v>-2026</c:v>
                </c:pt>
                <c:pt idx="6">
                  <c:v>-1880</c:v>
                </c:pt>
                <c:pt idx="7">
                  <c:v>-841</c:v>
                </c:pt>
                <c:pt idx="8">
                  <c:v>-786</c:v>
                </c:pt>
                <c:pt idx="9">
                  <c:v>-630</c:v>
                </c:pt>
                <c:pt idx="10">
                  <c:v>-591</c:v>
                </c:pt>
                <c:pt idx="11">
                  <c:v>-397</c:v>
                </c:pt>
                <c:pt idx="12">
                  <c:v>-245</c:v>
                </c:pt>
                <c:pt idx="13">
                  <c:v>0</c:v>
                </c:pt>
                <c:pt idx="14">
                  <c:v>217</c:v>
                </c:pt>
                <c:pt idx="15">
                  <c:v>813</c:v>
                </c:pt>
                <c:pt idx="16">
                  <c:v>3441</c:v>
                </c:pt>
                <c:pt idx="17">
                  <c:v>5864</c:v>
                </c:pt>
                <c:pt idx="18">
                  <c:v>7674</c:v>
                </c:pt>
                <c:pt idx="19">
                  <c:v>8281</c:v>
                </c:pt>
                <c:pt idx="20">
                  <c:v>8471</c:v>
                </c:pt>
                <c:pt idx="21">
                  <c:v>8471</c:v>
                </c:pt>
                <c:pt idx="22">
                  <c:v>8471</c:v>
                </c:pt>
                <c:pt idx="23">
                  <c:v>8476</c:v>
                </c:pt>
                <c:pt idx="24">
                  <c:v>8676</c:v>
                </c:pt>
                <c:pt idx="25">
                  <c:v>8888</c:v>
                </c:pt>
                <c:pt idx="26">
                  <c:v>9078</c:v>
                </c:pt>
                <c:pt idx="27">
                  <c:v>9273</c:v>
                </c:pt>
                <c:pt idx="28">
                  <c:v>9273</c:v>
                </c:pt>
                <c:pt idx="29">
                  <c:v>9273</c:v>
                </c:pt>
                <c:pt idx="30">
                  <c:v>9500</c:v>
                </c:pt>
                <c:pt idx="31">
                  <c:v>9706</c:v>
                </c:pt>
                <c:pt idx="32">
                  <c:v>10091</c:v>
                </c:pt>
                <c:pt idx="33">
                  <c:v>10297</c:v>
                </c:pt>
                <c:pt idx="34">
                  <c:v>10297</c:v>
                </c:pt>
                <c:pt idx="35">
                  <c:v>11304</c:v>
                </c:pt>
                <c:pt idx="36">
                  <c:v>11495</c:v>
                </c:pt>
                <c:pt idx="37">
                  <c:v>11710</c:v>
                </c:pt>
                <c:pt idx="38">
                  <c:v>12507</c:v>
                </c:pt>
                <c:pt idx="39">
                  <c:v>12664</c:v>
                </c:pt>
                <c:pt idx="40">
                  <c:v>12117</c:v>
                </c:pt>
                <c:pt idx="41">
                  <c:v>12214</c:v>
                </c:pt>
                <c:pt idx="42">
                  <c:v>12312</c:v>
                </c:pt>
                <c:pt idx="43">
                  <c:v>12870</c:v>
                </c:pt>
                <c:pt idx="44">
                  <c:v>9224</c:v>
                </c:pt>
                <c:pt idx="45">
                  <c:v>12308</c:v>
                </c:pt>
                <c:pt idx="46">
                  <c:v>12497.5</c:v>
                </c:pt>
                <c:pt idx="47">
                  <c:v>12845</c:v>
                </c:pt>
                <c:pt idx="48">
                  <c:v>13520</c:v>
                </c:pt>
                <c:pt idx="49">
                  <c:v>13726</c:v>
                </c:pt>
                <c:pt idx="50">
                  <c:v>11901</c:v>
                </c:pt>
                <c:pt idx="51">
                  <c:v>12931</c:v>
                </c:pt>
                <c:pt idx="52">
                  <c:v>12931</c:v>
                </c:pt>
                <c:pt idx="53">
                  <c:v>10462</c:v>
                </c:pt>
                <c:pt idx="54">
                  <c:v>12310</c:v>
                </c:pt>
                <c:pt idx="55">
                  <c:v>13302</c:v>
                </c:pt>
                <c:pt idx="56">
                  <c:v>13302</c:v>
                </c:pt>
                <c:pt idx="57">
                  <c:v>13302</c:v>
                </c:pt>
                <c:pt idx="58">
                  <c:v>14340</c:v>
                </c:pt>
              </c:numCache>
            </c:numRef>
          </c:xVal>
          <c:yVal>
            <c:numRef>
              <c:f>Active!$I$21:$I$79</c:f>
              <c:numCache>
                <c:formatCode>General</c:formatCode>
                <c:ptCount val="59"/>
                <c:pt idx="16">
                  <c:v>9.9160000027040951E-3</c:v>
                </c:pt>
                <c:pt idx="17">
                  <c:v>9.2640000002575107E-3</c:v>
                </c:pt>
                <c:pt idx="18">
                  <c:v>1.8824000006134156E-2</c:v>
                </c:pt>
                <c:pt idx="19">
                  <c:v>2.8755999999702908E-2</c:v>
                </c:pt>
                <c:pt idx="20">
                  <c:v>1.2196000003314111E-2</c:v>
                </c:pt>
                <c:pt idx="21">
                  <c:v>1.5196000000287313E-2</c:v>
                </c:pt>
                <c:pt idx="22">
                  <c:v>1.919600000110222E-2</c:v>
                </c:pt>
                <c:pt idx="23">
                  <c:v>2.0576000002620276E-2</c:v>
                </c:pt>
                <c:pt idx="25">
                  <c:v>1.2688000002526678E-2</c:v>
                </c:pt>
                <c:pt idx="26">
                  <c:v>2.6128000004973728E-2</c:v>
                </c:pt>
                <c:pt idx="28">
                  <c:v>2.3947999994561542E-2</c:v>
                </c:pt>
                <c:pt idx="29">
                  <c:v>3.2948000000033062E-2</c:v>
                </c:pt>
                <c:pt idx="30">
                  <c:v>2.599999999802094E-2</c:v>
                </c:pt>
                <c:pt idx="31">
                  <c:v>2.1056000005046371E-2</c:v>
                </c:pt>
                <c:pt idx="32">
                  <c:v>1.7315999997663312E-2</c:v>
                </c:pt>
                <c:pt idx="34">
                  <c:v>2.9371999997238163E-2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86-4A8C-A45E-FD54D270E27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-3494</c:v>
                </c:pt>
                <c:pt idx="1">
                  <c:v>-3203</c:v>
                </c:pt>
                <c:pt idx="2">
                  <c:v>-3198</c:v>
                </c:pt>
                <c:pt idx="3">
                  <c:v>-2792</c:v>
                </c:pt>
                <c:pt idx="4">
                  <c:v>-2433</c:v>
                </c:pt>
                <c:pt idx="5">
                  <c:v>-2026</c:v>
                </c:pt>
                <c:pt idx="6">
                  <c:v>-1880</c:v>
                </c:pt>
                <c:pt idx="7">
                  <c:v>-841</c:v>
                </c:pt>
                <c:pt idx="8">
                  <c:v>-786</c:v>
                </c:pt>
                <c:pt idx="9">
                  <c:v>-630</c:v>
                </c:pt>
                <c:pt idx="10">
                  <c:v>-591</c:v>
                </c:pt>
                <c:pt idx="11">
                  <c:v>-397</c:v>
                </c:pt>
                <c:pt idx="12">
                  <c:v>-245</c:v>
                </c:pt>
                <c:pt idx="13">
                  <c:v>0</c:v>
                </c:pt>
                <c:pt idx="14">
                  <c:v>217</c:v>
                </c:pt>
                <c:pt idx="15">
                  <c:v>813</c:v>
                </c:pt>
                <c:pt idx="16">
                  <c:v>3441</c:v>
                </c:pt>
                <c:pt idx="17">
                  <c:v>5864</c:v>
                </c:pt>
                <c:pt idx="18">
                  <c:v>7674</c:v>
                </c:pt>
                <c:pt idx="19">
                  <c:v>8281</c:v>
                </c:pt>
                <c:pt idx="20">
                  <c:v>8471</c:v>
                </c:pt>
                <c:pt idx="21">
                  <c:v>8471</c:v>
                </c:pt>
                <c:pt idx="22">
                  <c:v>8471</c:v>
                </c:pt>
                <c:pt idx="23">
                  <c:v>8476</c:v>
                </c:pt>
                <c:pt idx="24">
                  <c:v>8676</c:v>
                </c:pt>
                <c:pt idx="25">
                  <c:v>8888</c:v>
                </c:pt>
                <c:pt idx="26">
                  <c:v>9078</c:v>
                </c:pt>
                <c:pt idx="27">
                  <c:v>9273</c:v>
                </c:pt>
                <c:pt idx="28">
                  <c:v>9273</c:v>
                </c:pt>
                <c:pt idx="29">
                  <c:v>9273</c:v>
                </c:pt>
                <c:pt idx="30">
                  <c:v>9500</c:v>
                </c:pt>
                <c:pt idx="31">
                  <c:v>9706</c:v>
                </c:pt>
                <c:pt idx="32">
                  <c:v>10091</c:v>
                </c:pt>
                <c:pt idx="33">
                  <c:v>10297</c:v>
                </c:pt>
                <c:pt idx="34">
                  <c:v>10297</c:v>
                </c:pt>
                <c:pt idx="35">
                  <c:v>11304</c:v>
                </c:pt>
                <c:pt idx="36">
                  <c:v>11495</c:v>
                </c:pt>
                <c:pt idx="37">
                  <c:v>11710</c:v>
                </c:pt>
                <c:pt idx="38">
                  <c:v>12507</c:v>
                </c:pt>
                <c:pt idx="39">
                  <c:v>12664</c:v>
                </c:pt>
                <c:pt idx="40">
                  <c:v>12117</c:v>
                </c:pt>
                <c:pt idx="41">
                  <c:v>12214</c:v>
                </c:pt>
                <c:pt idx="42">
                  <c:v>12312</c:v>
                </c:pt>
                <c:pt idx="43">
                  <c:v>12870</c:v>
                </c:pt>
                <c:pt idx="44">
                  <c:v>9224</c:v>
                </c:pt>
                <c:pt idx="45">
                  <c:v>12308</c:v>
                </c:pt>
                <c:pt idx="46">
                  <c:v>12497.5</c:v>
                </c:pt>
                <c:pt idx="47">
                  <c:v>12845</c:v>
                </c:pt>
                <c:pt idx="48">
                  <c:v>13520</c:v>
                </c:pt>
                <c:pt idx="49">
                  <c:v>13726</c:v>
                </c:pt>
                <c:pt idx="50">
                  <c:v>11901</c:v>
                </c:pt>
                <c:pt idx="51">
                  <c:v>12931</c:v>
                </c:pt>
                <c:pt idx="52">
                  <c:v>12931</c:v>
                </c:pt>
                <c:pt idx="53">
                  <c:v>10462</c:v>
                </c:pt>
                <c:pt idx="54">
                  <c:v>12310</c:v>
                </c:pt>
                <c:pt idx="55">
                  <c:v>13302</c:v>
                </c:pt>
                <c:pt idx="56">
                  <c:v>13302</c:v>
                </c:pt>
                <c:pt idx="57">
                  <c:v>13302</c:v>
                </c:pt>
                <c:pt idx="58">
                  <c:v>14340</c:v>
                </c:pt>
              </c:numCache>
            </c:numRef>
          </c:xVal>
          <c:yVal>
            <c:numRef>
              <c:f>Active!$J$21:$J$79</c:f>
              <c:numCache>
                <c:formatCode>General</c:formatCode>
                <c:ptCount val="59"/>
                <c:pt idx="19">
                  <c:v>2.8755999999702908E-2</c:v>
                </c:pt>
                <c:pt idx="20">
                  <c:v>1.2196000003314111E-2</c:v>
                </c:pt>
                <c:pt idx="25">
                  <c:v>1.2688000002526678E-2</c:v>
                </c:pt>
                <c:pt idx="26">
                  <c:v>2.6128000004973728E-2</c:v>
                </c:pt>
                <c:pt idx="27">
                  <c:v>1.6247999999905005E-2</c:v>
                </c:pt>
                <c:pt idx="33">
                  <c:v>1.5971999993780628E-2</c:v>
                </c:pt>
                <c:pt idx="44">
                  <c:v>1.722400000289781E-2</c:v>
                </c:pt>
                <c:pt idx="45">
                  <c:v>3.2307999994372949E-2</c:v>
                </c:pt>
                <c:pt idx="46">
                  <c:v>3.9109999997890554E-2</c:v>
                </c:pt>
                <c:pt idx="47">
                  <c:v>2.282000000559492E-2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86-4A8C-A45E-FD54D270E27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Active!$F$21:$F$790</c:f>
              <c:numCache>
                <c:formatCode>General</c:formatCode>
                <c:ptCount val="770"/>
                <c:pt idx="0">
                  <c:v>-3494</c:v>
                </c:pt>
                <c:pt idx="1">
                  <c:v>-3203</c:v>
                </c:pt>
                <c:pt idx="2">
                  <c:v>-3198</c:v>
                </c:pt>
                <c:pt idx="3">
                  <c:v>-2792</c:v>
                </c:pt>
                <c:pt idx="4">
                  <c:v>-2433</c:v>
                </c:pt>
                <c:pt idx="5">
                  <c:v>-2026</c:v>
                </c:pt>
                <c:pt idx="6">
                  <c:v>-1880</c:v>
                </c:pt>
                <c:pt idx="7">
                  <c:v>-841</c:v>
                </c:pt>
                <c:pt idx="8">
                  <c:v>-786</c:v>
                </c:pt>
                <c:pt idx="9">
                  <c:v>-630</c:v>
                </c:pt>
                <c:pt idx="10">
                  <c:v>-591</c:v>
                </c:pt>
                <c:pt idx="11">
                  <c:v>-397</c:v>
                </c:pt>
                <c:pt idx="12">
                  <c:v>-245</c:v>
                </c:pt>
                <c:pt idx="13">
                  <c:v>0</c:v>
                </c:pt>
                <c:pt idx="14">
                  <c:v>217</c:v>
                </c:pt>
                <c:pt idx="15">
                  <c:v>813</c:v>
                </c:pt>
                <c:pt idx="16">
                  <c:v>3441</c:v>
                </c:pt>
                <c:pt idx="17">
                  <c:v>5864</c:v>
                </c:pt>
                <c:pt idx="18">
                  <c:v>7674</c:v>
                </c:pt>
                <c:pt idx="19">
                  <c:v>8281</c:v>
                </c:pt>
                <c:pt idx="20">
                  <c:v>8471</c:v>
                </c:pt>
                <c:pt idx="21">
                  <c:v>8471</c:v>
                </c:pt>
                <c:pt idx="22">
                  <c:v>8471</c:v>
                </c:pt>
                <c:pt idx="23">
                  <c:v>8476</c:v>
                </c:pt>
                <c:pt idx="24">
                  <c:v>8676</c:v>
                </c:pt>
                <c:pt idx="25">
                  <c:v>8888</c:v>
                </c:pt>
                <c:pt idx="26">
                  <c:v>9078</c:v>
                </c:pt>
                <c:pt idx="27">
                  <c:v>9273</c:v>
                </c:pt>
                <c:pt idx="28">
                  <c:v>9273</c:v>
                </c:pt>
                <c:pt idx="29">
                  <c:v>9273</c:v>
                </c:pt>
                <c:pt idx="30">
                  <c:v>9500</c:v>
                </c:pt>
                <c:pt idx="31">
                  <c:v>9706</c:v>
                </c:pt>
                <c:pt idx="32">
                  <c:v>10091</c:v>
                </c:pt>
                <c:pt idx="33">
                  <c:v>10297</c:v>
                </c:pt>
                <c:pt idx="34">
                  <c:v>10297</c:v>
                </c:pt>
                <c:pt idx="35">
                  <c:v>11304</c:v>
                </c:pt>
                <c:pt idx="36">
                  <c:v>11495</c:v>
                </c:pt>
                <c:pt idx="37">
                  <c:v>11710</c:v>
                </c:pt>
                <c:pt idx="38">
                  <c:v>12507</c:v>
                </c:pt>
                <c:pt idx="39">
                  <c:v>12664</c:v>
                </c:pt>
                <c:pt idx="40">
                  <c:v>12117</c:v>
                </c:pt>
                <c:pt idx="41">
                  <c:v>12214</c:v>
                </c:pt>
                <c:pt idx="42">
                  <c:v>12312</c:v>
                </c:pt>
                <c:pt idx="43">
                  <c:v>12870</c:v>
                </c:pt>
                <c:pt idx="44">
                  <c:v>9224</c:v>
                </c:pt>
                <c:pt idx="45">
                  <c:v>12308</c:v>
                </c:pt>
                <c:pt idx="46">
                  <c:v>12497.5</c:v>
                </c:pt>
                <c:pt idx="47">
                  <c:v>12845</c:v>
                </c:pt>
                <c:pt idx="48">
                  <c:v>13520</c:v>
                </c:pt>
                <c:pt idx="49">
                  <c:v>13726</c:v>
                </c:pt>
                <c:pt idx="50">
                  <c:v>11901</c:v>
                </c:pt>
                <c:pt idx="51">
                  <c:v>12931</c:v>
                </c:pt>
                <c:pt idx="52">
                  <c:v>12931</c:v>
                </c:pt>
                <c:pt idx="53">
                  <c:v>10462</c:v>
                </c:pt>
                <c:pt idx="54">
                  <c:v>12310</c:v>
                </c:pt>
                <c:pt idx="55">
                  <c:v>13302</c:v>
                </c:pt>
                <c:pt idx="56">
                  <c:v>13302</c:v>
                </c:pt>
                <c:pt idx="57">
                  <c:v>13302</c:v>
                </c:pt>
                <c:pt idx="58">
                  <c:v>14340</c:v>
                </c:pt>
              </c:numCache>
            </c:numRef>
          </c:xVal>
          <c:yVal>
            <c:numRef>
              <c:f>Active!$K$21:$K$790</c:f>
              <c:numCache>
                <c:formatCode>General</c:formatCode>
                <c:ptCount val="770"/>
                <c:pt idx="35">
                  <c:v>1.9704000005731359E-2</c:v>
                </c:pt>
                <c:pt idx="36">
                  <c:v>2.2720000008121133E-2</c:v>
                </c:pt>
                <c:pt idx="37">
                  <c:v>2.7060000000346918E-2</c:v>
                </c:pt>
                <c:pt idx="38">
                  <c:v>3.2332000002497807E-2</c:v>
                </c:pt>
                <c:pt idx="39">
                  <c:v>3.2463999996252824E-2</c:v>
                </c:pt>
                <c:pt idx="40">
                  <c:v>3.4992000000784174E-2</c:v>
                </c:pt>
                <c:pt idx="41">
                  <c:v>3.0464000003121328E-2</c:v>
                </c:pt>
                <c:pt idx="42">
                  <c:v>3.4312000003410503E-2</c:v>
                </c:pt>
                <c:pt idx="43">
                  <c:v>3.5420000000158325E-2</c:v>
                </c:pt>
                <c:pt idx="48">
                  <c:v>4.3019999997341074E-2</c:v>
                </c:pt>
                <c:pt idx="49">
                  <c:v>4.4875999992655125E-2</c:v>
                </c:pt>
                <c:pt idx="50">
                  <c:v>2.9716000004555099E-2</c:v>
                </c:pt>
                <c:pt idx="51">
                  <c:v>3.6906000001181383E-2</c:v>
                </c:pt>
                <c:pt idx="52">
                  <c:v>3.8405999999667984E-2</c:v>
                </c:pt>
                <c:pt idx="53">
                  <c:v>1.3911999994888902E-2</c:v>
                </c:pt>
                <c:pt idx="54">
                  <c:v>2.9360000000451691E-2</c:v>
                </c:pt>
                <c:pt idx="55">
                  <c:v>1.3952000001154374E-2</c:v>
                </c:pt>
                <c:pt idx="56">
                  <c:v>3.0252000004111324E-2</c:v>
                </c:pt>
                <c:pt idx="57">
                  <c:v>3.2252000004518777E-2</c:v>
                </c:pt>
                <c:pt idx="58">
                  <c:v>4.7860000064247288E-2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86-4A8C-A45E-FD54D270E27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-3494</c:v>
                </c:pt>
                <c:pt idx="1">
                  <c:v>-3203</c:v>
                </c:pt>
                <c:pt idx="2">
                  <c:v>-3198</c:v>
                </c:pt>
                <c:pt idx="3">
                  <c:v>-2792</c:v>
                </c:pt>
                <c:pt idx="4">
                  <c:v>-2433</c:v>
                </c:pt>
                <c:pt idx="5">
                  <c:v>-2026</c:v>
                </c:pt>
                <c:pt idx="6">
                  <c:v>-1880</c:v>
                </c:pt>
                <c:pt idx="7">
                  <c:v>-841</c:v>
                </c:pt>
                <c:pt idx="8">
                  <c:v>-786</c:v>
                </c:pt>
                <c:pt idx="9">
                  <c:v>-630</c:v>
                </c:pt>
                <c:pt idx="10">
                  <c:v>-591</c:v>
                </c:pt>
                <c:pt idx="11">
                  <c:v>-397</c:v>
                </c:pt>
                <c:pt idx="12">
                  <c:v>-245</c:v>
                </c:pt>
                <c:pt idx="13">
                  <c:v>0</c:v>
                </c:pt>
                <c:pt idx="14">
                  <c:v>217</c:v>
                </c:pt>
                <c:pt idx="15">
                  <c:v>813</c:v>
                </c:pt>
                <c:pt idx="16">
                  <c:v>3441</c:v>
                </c:pt>
                <c:pt idx="17">
                  <c:v>5864</c:v>
                </c:pt>
                <c:pt idx="18">
                  <c:v>7674</c:v>
                </c:pt>
                <c:pt idx="19">
                  <c:v>8281</c:v>
                </c:pt>
                <c:pt idx="20">
                  <c:v>8471</c:v>
                </c:pt>
                <c:pt idx="21">
                  <c:v>8471</c:v>
                </c:pt>
                <c:pt idx="22">
                  <c:v>8471</c:v>
                </c:pt>
                <c:pt idx="23">
                  <c:v>8476</c:v>
                </c:pt>
                <c:pt idx="24">
                  <c:v>8676</c:v>
                </c:pt>
                <c:pt idx="25">
                  <c:v>8888</c:v>
                </c:pt>
                <c:pt idx="26">
                  <c:v>9078</c:v>
                </c:pt>
                <c:pt idx="27">
                  <c:v>9273</c:v>
                </c:pt>
                <c:pt idx="28">
                  <c:v>9273</c:v>
                </c:pt>
                <c:pt idx="29">
                  <c:v>9273</c:v>
                </c:pt>
                <c:pt idx="30">
                  <c:v>9500</c:v>
                </c:pt>
                <c:pt idx="31">
                  <c:v>9706</c:v>
                </c:pt>
                <c:pt idx="32">
                  <c:v>10091</c:v>
                </c:pt>
                <c:pt idx="33">
                  <c:v>10297</c:v>
                </c:pt>
                <c:pt idx="34">
                  <c:v>10297</c:v>
                </c:pt>
                <c:pt idx="35">
                  <c:v>11304</c:v>
                </c:pt>
                <c:pt idx="36">
                  <c:v>11495</c:v>
                </c:pt>
                <c:pt idx="37">
                  <c:v>11710</c:v>
                </c:pt>
                <c:pt idx="38">
                  <c:v>12507</c:v>
                </c:pt>
                <c:pt idx="39">
                  <c:v>12664</c:v>
                </c:pt>
                <c:pt idx="40">
                  <c:v>12117</c:v>
                </c:pt>
                <c:pt idx="41">
                  <c:v>12214</c:v>
                </c:pt>
                <c:pt idx="42">
                  <c:v>12312</c:v>
                </c:pt>
                <c:pt idx="43">
                  <c:v>12870</c:v>
                </c:pt>
                <c:pt idx="44">
                  <c:v>9224</c:v>
                </c:pt>
                <c:pt idx="45">
                  <c:v>12308</c:v>
                </c:pt>
                <c:pt idx="46">
                  <c:v>12497.5</c:v>
                </c:pt>
                <c:pt idx="47">
                  <c:v>12845</c:v>
                </c:pt>
                <c:pt idx="48">
                  <c:v>13520</c:v>
                </c:pt>
                <c:pt idx="49">
                  <c:v>13726</c:v>
                </c:pt>
                <c:pt idx="50">
                  <c:v>11901</c:v>
                </c:pt>
                <c:pt idx="51">
                  <c:v>12931</c:v>
                </c:pt>
                <c:pt idx="52">
                  <c:v>12931</c:v>
                </c:pt>
                <c:pt idx="53">
                  <c:v>10462</c:v>
                </c:pt>
                <c:pt idx="54">
                  <c:v>12310</c:v>
                </c:pt>
                <c:pt idx="55">
                  <c:v>13302</c:v>
                </c:pt>
                <c:pt idx="56">
                  <c:v>13302</c:v>
                </c:pt>
                <c:pt idx="57">
                  <c:v>13302</c:v>
                </c:pt>
                <c:pt idx="58">
                  <c:v>14340</c:v>
                </c:pt>
              </c:numCache>
            </c:numRef>
          </c:xVal>
          <c:yVal>
            <c:numRef>
              <c:f>Active!$L$21:$L$79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86-4A8C-A45E-FD54D270E2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-3494</c:v>
                </c:pt>
                <c:pt idx="1">
                  <c:v>-3203</c:v>
                </c:pt>
                <c:pt idx="2">
                  <c:v>-3198</c:v>
                </c:pt>
                <c:pt idx="3">
                  <c:v>-2792</c:v>
                </c:pt>
                <c:pt idx="4">
                  <c:v>-2433</c:v>
                </c:pt>
                <c:pt idx="5">
                  <c:v>-2026</c:v>
                </c:pt>
                <c:pt idx="6">
                  <c:v>-1880</c:v>
                </c:pt>
                <c:pt idx="7">
                  <c:v>-841</c:v>
                </c:pt>
                <c:pt idx="8">
                  <c:v>-786</c:v>
                </c:pt>
                <c:pt idx="9">
                  <c:v>-630</c:v>
                </c:pt>
                <c:pt idx="10">
                  <c:v>-591</c:v>
                </c:pt>
                <c:pt idx="11">
                  <c:v>-397</c:v>
                </c:pt>
                <c:pt idx="12">
                  <c:v>-245</c:v>
                </c:pt>
                <c:pt idx="13">
                  <c:v>0</c:v>
                </c:pt>
                <c:pt idx="14">
                  <c:v>217</c:v>
                </c:pt>
                <c:pt idx="15">
                  <c:v>813</c:v>
                </c:pt>
                <c:pt idx="16">
                  <c:v>3441</c:v>
                </c:pt>
                <c:pt idx="17">
                  <c:v>5864</c:v>
                </c:pt>
                <c:pt idx="18">
                  <c:v>7674</c:v>
                </c:pt>
                <c:pt idx="19">
                  <c:v>8281</c:v>
                </c:pt>
                <c:pt idx="20">
                  <c:v>8471</c:v>
                </c:pt>
                <c:pt idx="21">
                  <c:v>8471</c:v>
                </c:pt>
                <c:pt idx="22">
                  <c:v>8471</c:v>
                </c:pt>
                <c:pt idx="23">
                  <c:v>8476</c:v>
                </c:pt>
                <c:pt idx="24">
                  <c:v>8676</c:v>
                </c:pt>
                <c:pt idx="25">
                  <c:v>8888</c:v>
                </c:pt>
                <c:pt idx="26">
                  <c:v>9078</c:v>
                </c:pt>
                <c:pt idx="27">
                  <c:v>9273</c:v>
                </c:pt>
                <c:pt idx="28">
                  <c:v>9273</c:v>
                </c:pt>
                <c:pt idx="29">
                  <c:v>9273</c:v>
                </c:pt>
                <c:pt idx="30">
                  <c:v>9500</c:v>
                </c:pt>
                <c:pt idx="31">
                  <c:v>9706</c:v>
                </c:pt>
                <c:pt idx="32">
                  <c:v>10091</c:v>
                </c:pt>
                <c:pt idx="33">
                  <c:v>10297</c:v>
                </c:pt>
                <c:pt idx="34">
                  <c:v>10297</c:v>
                </c:pt>
                <c:pt idx="35">
                  <c:v>11304</c:v>
                </c:pt>
                <c:pt idx="36">
                  <c:v>11495</c:v>
                </c:pt>
                <c:pt idx="37">
                  <c:v>11710</c:v>
                </c:pt>
                <c:pt idx="38">
                  <c:v>12507</c:v>
                </c:pt>
                <c:pt idx="39">
                  <c:v>12664</c:v>
                </c:pt>
                <c:pt idx="40">
                  <c:v>12117</c:v>
                </c:pt>
                <c:pt idx="41">
                  <c:v>12214</c:v>
                </c:pt>
                <c:pt idx="42">
                  <c:v>12312</c:v>
                </c:pt>
                <c:pt idx="43">
                  <c:v>12870</c:v>
                </c:pt>
                <c:pt idx="44">
                  <c:v>9224</c:v>
                </c:pt>
                <c:pt idx="45">
                  <c:v>12308</c:v>
                </c:pt>
                <c:pt idx="46">
                  <c:v>12497.5</c:v>
                </c:pt>
                <c:pt idx="47">
                  <c:v>12845</c:v>
                </c:pt>
                <c:pt idx="48">
                  <c:v>13520</c:v>
                </c:pt>
                <c:pt idx="49">
                  <c:v>13726</c:v>
                </c:pt>
                <c:pt idx="50">
                  <c:v>11901</c:v>
                </c:pt>
                <c:pt idx="51">
                  <c:v>12931</c:v>
                </c:pt>
                <c:pt idx="52">
                  <c:v>12931</c:v>
                </c:pt>
                <c:pt idx="53">
                  <c:v>10462</c:v>
                </c:pt>
                <c:pt idx="54">
                  <c:v>12310</c:v>
                </c:pt>
                <c:pt idx="55">
                  <c:v>13302</c:v>
                </c:pt>
                <c:pt idx="56">
                  <c:v>13302</c:v>
                </c:pt>
                <c:pt idx="57">
                  <c:v>13302</c:v>
                </c:pt>
                <c:pt idx="58">
                  <c:v>14340</c:v>
                </c:pt>
              </c:numCache>
            </c:numRef>
          </c:xVal>
          <c:yVal>
            <c:numRef>
              <c:f>Active!$M$21:$M$79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86-4A8C-A45E-FD54D270E2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-3494</c:v>
                </c:pt>
                <c:pt idx="1">
                  <c:v>-3203</c:v>
                </c:pt>
                <c:pt idx="2">
                  <c:v>-3198</c:v>
                </c:pt>
                <c:pt idx="3">
                  <c:v>-2792</c:v>
                </c:pt>
                <c:pt idx="4">
                  <c:v>-2433</c:v>
                </c:pt>
                <c:pt idx="5">
                  <c:v>-2026</c:v>
                </c:pt>
                <c:pt idx="6">
                  <c:v>-1880</c:v>
                </c:pt>
                <c:pt idx="7">
                  <c:v>-841</c:v>
                </c:pt>
                <c:pt idx="8">
                  <c:v>-786</c:v>
                </c:pt>
                <c:pt idx="9">
                  <c:v>-630</c:v>
                </c:pt>
                <c:pt idx="10">
                  <c:v>-591</c:v>
                </c:pt>
                <c:pt idx="11">
                  <c:v>-397</c:v>
                </c:pt>
                <c:pt idx="12">
                  <c:v>-245</c:v>
                </c:pt>
                <c:pt idx="13">
                  <c:v>0</c:v>
                </c:pt>
                <c:pt idx="14">
                  <c:v>217</c:v>
                </c:pt>
                <c:pt idx="15">
                  <c:v>813</c:v>
                </c:pt>
                <c:pt idx="16">
                  <c:v>3441</c:v>
                </c:pt>
                <c:pt idx="17">
                  <c:v>5864</c:v>
                </c:pt>
                <c:pt idx="18">
                  <c:v>7674</c:v>
                </c:pt>
                <c:pt idx="19">
                  <c:v>8281</c:v>
                </c:pt>
                <c:pt idx="20">
                  <c:v>8471</c:v>
                </c:pt>
                <c:pt idx="21">
                  <c:v>8471</c:v>
                </c:pt>
                <c:pt idx="22">
                  <c:v>8471</c:v>
                </c:pt>
                <c:pt idx="23">
                  <c:v>8476</c:v>
                </c:pt>
                <c:pt idx="24">
                  <c:v>8676</c:v>
                </c:pt>
                <c:pt idx="25">
                  <c:v>8888</c:v>
                </c:pt>
                <c:pt idx="26">
                  <c:v>9078</c:v>
                </c:pt>
                <c:pt idx="27">
                  <c:v>9273</c:v>
                </c:pt>
                <c:pt idx="28">
                  <c:v>9273</c:v>
                </c:pt>
                <c:pt idx="29">
                  <c:v>9273</c:v>
                </c:pt>
                <c:pt idx="30">
                  <c:v>9500</c:v>
                </c:pt>
                <c:pt idx="31">
                  <c:v>9706</c:v>
                </c:pt>
                <c:pt idx="32">
                  <c:v>10091</c:v>
                </c:pt>
                <c:pt idx="33">
                  <c:v>10297</c:v>
                </c:pt>
                <c:pt idx="34">
                  <c:v>10297</c:v>
                </c:pt>
                <c:pt idx="35">
                  <c:v>11304</c:v>
                </c:pt>
                <c:pt idx="36">
                  <c:v>11495</c:v>
                </c:pt>
                <c:pt idx="37">
                  <c:v>11710</c:v>
                </c:pt>
                <c:pt idx="38">
                  <c:v>12507</c:v>
                </c:pt>
                <c:pt idx="39">
                  <c:v>12664</c:v>
                </c:pt>
                <c:pt idx="40">
                  <c:v>12117</c:v>
                </c:pt>
                <c:pt idx="41">
                  <c:v>12214</c:v>
                </c:pt>
                <c:pt idx="42">
                  <c:v>12312</c:v>
                </c:pt>
                <c:pt idx="43">
                  <c:v>12870</c:v>
                </c:pt>
                <c:pt idx="44">
                  <c:v>9224</c:v>
                </c:pt>
                <c:pt idx="45">
                  <c:v>12308</c:v>
                </c:pt>
                <c:pt idx="46">
                  <c:v>12497.5</c:v>
                </c:pt>
                <c:pt idx="47">
                  <c:v>12845</c:v>
                </c:pt>
                <c:pt idx="48">
                  <c:v>13520</c:v>
                </c:pt>
                <c:pt idx="49">
                  <c:v>13726</c:v>
                </c:pt>
                <c:pt idx="50">
                  <c:v>11901</c:v>
                </c:pt>
                <c:pt idx="51">
                  <c:v>12931</c:v>
                </c:pt>
                <c:pt idx="52">
                  <c:v>12931</c:v>
                </c:pt>
                <c:pt idx="53">
                  <c:v>10462</c:v>
                </c:pt>
                <c:pt idx="54">
                  <c:v>12310</c:v>
                </c:pt>
                <c:pt idx="55">
                  <c:v>13302</c:v>
                </c:pt>
                <c:pt idx="56">
                  <c:v>13302</c:v>
                </c:pt>
                <c:pt idx="57">
                  <c:v>13302</c:v>
                </c:pt>
                <c:pt idx="58">
                  <c:v>14340</c:v>
                </c:pt>
              </c:numCache>
            </c:numRef>
          </c:xVal>
          <c:yVal>
            <c:numRef>
              <c:f>Active!$N$21:$N$79</c:f>
              <c:numCache>
                <c:formatCode>General</c:formatCode>
                <c:ptCount val="59"/>
                <c:pt idx="22">
                  <c:v>1.919600000110222E-2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86-4A8C-A45E-FD54D270E2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-3494</c:v>
                </c:pt>
                <c:pt idx="1">
                  <c:v>-3203</c:v>
                </c:pt>
                <c:pt idx="2">
                  <c:v>-3198</c:v>
                </c:pt>
                <c:pt idx="3">
                  <c:v>-2792</c:v>
                </c:pt>
                <c:pt idx="4">
                  <c:v>-2433</c:v>
                </c:pt>
                <c:pt idx="5">
                  <c:v>-2026</c:v>
                </c:pt>
                <c:pt idx="6">
                  <c:v>-1880</c:v>
                </c:pt>
                <c:pt idx="7">
                  <c:v>-841</c:v>
                </c:pt>
                <c:pt idx="8">
                  <c:v>-786</c:v>
                </c:pt>
                <c:pt idx="9">
                  <c:v>-630</c:v>
                </c:pt>
                <c:pt idx="10">
                  <c:v>-591</c:v>
                </c:pt>
                <c:pt idx="11">
                  <c:v>-397</c:v>
                </c:pt>
                <c:pt idx="12">
                  <c:v>-245</c:v>
                </c:pt>
                <c:pt idx="13">
                  <c:v>0</c:v>
                </c:pt>
                <c:pt idx="14">
                  <c:v>217</c:v>
                </c:pt>
                <c:pt idx="15">
                  <c:v>813</c:v>
                </c:pt>
                <c:pt idx="16">
                  <c:v>3441</c:v>
                </c:pt>
                <c:pt idx="17">
                  <c:v>5864</c:v>
                </c:pt>
                <c:pt idx="18">
                  <c:v>7674</c:v>
                </c:pt>
                <c:pt idx="19">
                  <c:v>8281</c:v>
                </c:pt>
                <c:pt idx="20">
                  <c:v>8471</c:v>
                </c:pt>
                <c:pt idx="21">
                  <c:v>8471</c:v>
                </c:pt>
                <c:pt idx="22">
                  <c:v>8471</c:v>
                </c:pt>
                <c:pt idx="23">
                  <c:v>8476</c:v>
                </c:pt>
                <c:pt idx="24">
                  <c:v>8676</c:v>
                </c:pt>
                <c:pt idx="25">
                  <c:v>8888</c:v>
                </c:pt>
                <c:pt idx="26">
                  <c:v>9078</c:v>
                </c:pt>
                <c:pt idx="27">
                  <c:v>9273</c:v>
                </c:pt>
                <c:pt idx="28">
                  <c:v>9273</c:v>
                </c:pt>
                <c:pt idx="29">
                  <c:v>9273</c:v>
                </c:pt>
                <c:pt idx="30">
                  <c:v>9500</c:v>
                </c:pt>
                <c:pt idx="31">
                  <c:v>9706</c:v>
                </c:pt>
                <c:pt idx="32">
                  <c:v>10091</c:v>
                </c:pt>
                <c:pt idx="33">
                  <c:v>10297</c:v>
                </c:pt>
                <c:pt idx="34">
                  <c:v>10297</c:v>
                </c:pt>
                <c:pt idx="35">
                  <c:v>11304</c:v>
                </c:pt>
                <c:pt idx="36">
                  <c:v>11495</c:v>
                </c:pt>
                <c:pt idx="37">
                  <c:v>11710</c:v>
                </c:pt>
                <c:pt idx="38">
                  <c:v>12507</c:v>
                </c:pt>
                <c:pt idx="39">
                  <c:v>12664</c:v>
                </c:pt>
                <c:pt idx="40">
                  <c:v>12117</c:v>
                </c:pt>
                <c:pt idx="41">
                  <c:v>12214</c:v>
                </c:pt>
                <c:pt idx="42">
                  <c:v>12312</c:v>
                </c:pt>
                <c:pt idx="43">
                  <c:v>12870</c:v>
                </c:pt>
                <c:pt idx="44">
                  <c:v>9224</c:v>
                </c:pt>
                <c:pt idx="45">
                  <c:v>12308</c:v>
                </c:pt>
                <c:pt idx="46">
                  <c:v>12497.5</c:v>
                </c:pt>
                <c:pt idx="47">
                  <c:v>12845</c:v>
                </c:pt>
                <c:pt idx="48">
                  <c:v>13520</c:v>
                </c:pt>
                <c:pt idx="49">
                  <c:v>13726</c:v>
                </c:pt>
                <c:pt idx="50">
                  <c:v>11901</c:v>
                </c:pt>
                <c:pt idx="51">
                  <c:v>12931</c:v>
                </c:pt>
                <c:pt idx="52">
                  <c:v>12931</c:v>
                </c:pt>
                <c:pt idx="53">
                  <c:v>10462</c:v>
                </c:pt>
                <c:pt idx="54">
                  <c:v>12310</c:v>
                </c:pt>
                <c:pt idx="55">
                  <c:v>13302</c:v>
                </c:pt>
                <c:pt idx="56">
                  <c:v>13302</c:v>
                </c:pt>
                <c:pt idx="57">
                  <c:v>13302</c:v>
                </c:pt>
                <c:pt idx="58">
                  <c:v>14340</c:v>
                </c:pt>
              </c:numCache>
            </c:numRef>
          </c:xVal>
          <c:yVal>
            <c:numRef>
              <c:f>Active!$O$21:$O$79</c:f>
              <c:numCache>
                <c:formatCode>General</c:formatCode>
                <c:ptCount val="59"/>
                <c:pt idx="0">
                  <c:v>-2.9237810639472409E-2</c:v>
                </c:pt>
                <c:pt idx="1">
                  <c:v>-2.8126645090240973E-2</c:v>
                </c:pt>
                <c:pt idx="2">
                  <c:v>-2.8107552898673421E-2</c:v>
                </c:pt>
                <c:pt idx="3">
                  <c:v>-2.6557266943388329E-2</c:v>
                </c:pt>
                <c:pt idx="4">
                  <c:v>-2.5186447588838212E-2</c:v>
                </c:pt>
                <c:pt idx="5">
                  <c:v>-2.3632343195239609E-2</c:v>
                </c:pt>
                <c:pt idx="6">
                  <c:v>-2.3074851201467135E-2</c:v>
                </c:pt>
                <c:pt idx="7">
                  <c:v>-1.9107493793730165E-2</c:v>
                </c:pt>
                <c:pt idx="8">
                  <c:v>-1.8897479686487108E-2</c:v>
                </c:pt>
                <c:pt idx="9">
                  <c:v>-1.8301803309579538E-2</c:v>
                </c:pt>
                <c:pt idx="10">
                  <c:v>-1.8152884215352643E-2</c:v>
                </c:pt>
                <c:pt idx="11">
                  <c:v>-1.7412107182531687E-2</c:v>
                </c:pt>
                <c:pt idx="12">
                  <c:v>-1.6831704558878155E-2</c:v>
                </c:pt>
                <c:pt idx="13">
                  <c:v>-1.5896187172068185E-2</c:v>
                </c:pt>
                <c:pt idx="14">
                  <c:v>-1.5067586058036498E-2</c:v>
                </c:pt>
                <c:pt idx="15">
                  <c:v>-1.279179682318449E-2</c:v>
                </c:pt>
                <c:pt idx="16">
                  <c:v>-2.7569409352799969E-3</c:v>
                </c:pt>
                <c:pt idx="17">
                  <c:v>6.4951350983549275E-3</c:v>
                </c:pt>
                <c:pt idx="18">
                  <c:v>1.3406508445808176E-2</c:v>
                </c:pt>
                <c:pt idx="19">
                  <c:v>1.5724300502108796E-2</c:v>
                </c:pt>
                <c:pt idx="20">
                  <c:v>1.6449803781675709E-2</c:v>
                </c:pt>
                <c:pt idx="21">
                  <c:v>1.6449803781675709E-2</c:v>
                </c:pt>
                <c:pt idx="22">
                  <c:v>1.6449803781675709E-2</c:v>
                </c:pt>
                <c:pt idx="23">
                  <c:v>1.6468895973243261E-2</c:v>
                </c:pt>
                <c:pt idx="24">
                  <c:v>1.7232583635945278E-2</c:v>
                </c:pt>
                <c:pt idx="25">
                  <c:v>1.8042092558409412E-2</c:v>
                </c:pt>
                <c:pt idx="26">
                  <c:v>1.8767595837976325E-2</c:v>
                </c:pt>
                <c:pt idx="27">
                  <c:v>1.9512191309110791E-2</c:v>
                </c:pt>
                <c:pt idx="28">
                  <c:v>1.9512191309110791E-2</c:v>
                </c:pt>
                <c:pt idx="29">
                  <c:v>1.9512191309110791E-2</c:v>
                </c:pt>
                <c:pt idx="30">
                  <c:v>2.0378976806277579E-2</c:v>
                </c:pt>
                <c:pt idx="31">
                  <c:v>2.1165575098860662E-2</c:v>
                </c:pt>
                <c:pt idx="32">
                  <c:v>2.2635673849562041E-2</c:v>
                </c:pt>
                <c:pt idx="33">
                  <c:v>2.3422272142145116E-2</c:v>
                </c:pt>
                <c:pt idx="34">
                  <c:v>2.3422272142145116E-2</c:v>
                </c:pt>
                <c:pt idx="35">
                  <c:v>2.7267439523849767E-2</c:v>
                </c:pt>
                <c:pt idx="36">
                  <c:v>2.7996761241730193E-2</c:v>
                </c:pt>
                <c:pt idx="37">
                  <c:v>2.8817725479134859E-2</c:v>
                </c:pt>
                <c:pt idx="38">
                  <c:v>3.1861020815002396E-2</c:v>
                </c:pt>
                <c:pt idx="39">
                  <c:v>3.246051563022348E-2</c:v>
                </c:pt>
                <c:pt idx="40">
                  <c:v>3.0371829872733465E-2</c:v>
                </c:pt>
                <c:pt idx="41">
                  <c:v>3.0742218389143941E-2</c:v>
                </c:pt>
                <c:pt idx="42">
                  <c:v>3.111642534386793E-2</c:v>
                </c:pt>
                <c:pt idx="43">
                  <c:v>3.3247113922806555E-2</c:v>
                </c:pt>
                <c:pt idx="44">
                  <c:v>1.93250878317488E-2</c:v>
                </c:pt>
                <c:pt idx="45">
                  <c:v>3.1101151590613892E-2</c:v>
                </c:pt>
                <c:pt idx="46">
                  <c:v>3.1824745651024049E-2</c:v>
                </c:pt>
                <c:pt idx="47">
                  <c:v>3.3151652964968803E-2</c:v>
                </c:pt>
                <c:pt idx="48">
                  <c:v>3.5729098826588104E-2</c:v>
                </c:pt>
                <c:pt idx="49">
                  <c:v>3.6515697119171187E-2</c:v>
                </c:pt>
                <c:pt idx="50">
                  <c:v>2.9547047197015286E-2</c:v>
                </c:pt>
                <c:pt idx="51">
                  <c:v>3.3480038659930669E-2</c:v>
                </c:pt>
                <c:pt idx="52">
                  <c:v>3.3480038659930669E-2</c:v>
                </c:pt>
                <c:pt idx="53">
                  <c:v>2.4052314463874278E-2</c:v>
                </c:pt>
                <c:pt idx="54">
                  <c:v>3.1108788467240911E-2</c:v>
                </c:pt>
                <c:pt idx="55">
                  <c:v>3.4896679274242913E-2</c:v>
                </c:pt>
                <c:pt idx="56">
                  <c:v>3.4896679274242913E-2</c:v>
                </c:pt>
                <c:pt idx="57">
                  <c:v>3.4896679274242913E-2</c:v>
                </c:pt>
                <c:pt idx="58">
                  <c:v>3.8860218243666374E-2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86-4A8C-A45E-FD54D270E27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-3494</c:v>
                </c:pt>
                <c:pt idx="1">
                  <c:v>-3203</c:v>
                </c:pt>
                <c:pt idx="2">
                  <c:v>-3198</c:v>
                </c:pt>
                <c:pt idx="3">
                  <c:v>-2792</c:v>
                </c:pt>
                <c:pt idx="4">
                  <c:v>-2433</c:v>
                </c:pt>
                <c:pt idx="5">
                  <c:v>-2026</c:v>
                </c:pt>
                <c:pt idx="6">
                  <c:v>-1880</c:v>
                </c:pt>
                <c:pt idx="7">
                  <c:v>-841</c:v>
                </c:pt>
                <c:pt idx="8">
                  <c:v>-786</c:v>
                </c:pt>
                <c:pt idx="9">
                  <c:v>-630</c:v>
                </c:pt>
                <c:pt idx="10">
                  <c:v>-591</c:v>
                </c:pt>
                <c:pt idx="11">
                  <c:v>-397</c:v>
                </c:pt>
                <c:pt idx="12">
                  <c:v>-245</c:v>
                </c:pt>
                <c:pt idx="13">
                  <c:v>0</c:v>
                </c:pt>
                <c:pt idx="14">
                  <c:v>217</c:v>
                </c:pt>
                <c:pt idx="15">
                  <c:v>813</c:v>
                </c:pt>
                <c:pt idx="16">
                  <c:v>3441</c:v>
                </c:pt>
                <c:pt idx="17">
                  <c:v>5864</c:v>
                </c:pt>
                <c:pt idx="18">
                  <c:v>7674</c:v>
                </c:pt>
                <c:pt idx="19">
                  <c:v>8281</c:v>
                </c:pt>
                <c:pt idx="20">
                  <c:v>8471</c:v>
                </c:pt>
                <c:pt idx="21">
                  <c:v>8471</c:v>
                </c:pt>
                <c:pt idx="22">
                  <c:v>8471</c:v>
                </c:pt>
                <c:pt idx="23">
                  <c:v>8476</c:v>
                </c:pt>
                <c:pt idx="24">
                  <c:v>8676</c:v>
                </c:pt>
                <c:pt idx="25">
                  <c:v>8888</c:v>
                </c:pt>
                <c:pt idx="26">
                  <c:v>9078</c:v>
                </c:pt>
                <c:pt idx="27">
                  <c:v>9273</c:v>
                </c:pt>
                <c:pt idx="28">
                  <c:v>9273</c:v>
                </c:pt>
                <c:pt idx="29">
                  <c:v>9273</c:v>
                </c:pt>
                <c:pt idx="30">
                  <c:v>9500</c:v>
                </c:pt>
                <c:pt idx="31">
                  <c:v>9706</c:v>
                </c:pt>
                <c:pt idx="32">
                  <c:v>10091</c:v>
                </c:pt>
                <c:pt idx="33">
                  <c:v>10297</c:v>
                </c:pt>
                <c:pt idx="34">
                  <c:v>10297</c:v>
                </c:pt>
                <c:pt idx="35">
                  <c:v>11304</c:v>
                </c:pt>
                <c:pt idx="36">
                  <c:v>11495</c:v>
                </c:pt>
                <c:pt idx="37">
                  <c:v>11710</c:v>
                </c:pt>
                <c:pt idx="38">
                  <c:v>12507</c:v>
                </c:pt>
                <c:pt idx="39">
                  <c:v>12664</c:v>
                </c:pt>
                <c:pt idx="40">
                  <c:v>12117</c:v>
                </c:pt>
                <c:pt idx="41">
                  <c:v>12214</c:v>
                </c:pt>
                <c:pt idx="42">
                  <c:v>12312</c:v>
                </c:pt>
                <c:pt idx="43">
                  <c:v>12870</c:v>
                </c:pt>
                <c:pt idx="44">
                  <c:v>9224</c:v>
                </c:pt>
                <c:pt idx="45">
                  <c:v>12308</c:v>
                </c:pt>
                <c:pt idx="46">
                  <c:v>12497.5</c:v>
                </c:pt>
                <c:pt idx="47">
                  <c:v>12845</c:v>
                </c:pt>
                <c:pt idx="48">
                  <c:v>13520</c:v>
                </c:pt>
                <c:pt idx="49">
                  <c:v>13726</c:v>
                </c:pt>
                <c:pt idx="50">
                  <c:v>11901</c:v>
                </c:pt>
                <c:pt idx="51">
                  <c:v>12931</c:v>
                </c:pt>
                <c:pt idx="52">
                  <c:v>12931</c:v>
                </c:pt>
                <c:pt idx="53">
                  <c:v>10462</c:v>
                </c:pt>
                <c:pt idx="54">
                  <c:v>12310</c:v>
                </c:pt>
                <c:pt idx="55">
                  <c:v>13302</c:v>
                </c:pt>
                <c:pt idx="56">
                  <c:v>13302</c:v>
                </c:pt>
                <c:pt idx="57">
                  <c:v>13302</c:v>
                </c:pt>
                <c:pt idx="58">
                  <c:v>14340</c:v>
                </c:pt>
              </c:numCache>
            </c:numRef>
          </c:xVal>
          <c:yVal>
            <c:numRef>
              <c:f>Active!$U$21:$U$79</c:f>
              <c:numCache>
                <c:formatCode>General</c:formatCode>
                <c:ptCount val="59"/>
                <c:pt idx="24">
                  <c:v>-1.2239999996381812E-3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86-4A8C-A45E-FD54D270E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81272"/>
        <c:axId val="1"/>
      </c:scatterChart>
      <c:valAx>
        <c:axId val="66368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1453092699692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6725663716814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681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81434510951617"/>
          <c:y val="0.9088076726258274"/>
          <c:w val="0.8300892388451442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400050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61C970-BB07-8DC3-A08D-B81B0F957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bav-astro.de/sfs/BAVM_link.php?BAVMnr=201" TargetMode="External"/><Relationship Id="rId18" Type="http://schemas.openxmlformats.org/officeDocument/2006/relationships/hyperlink" Target="http://www.bav-astro.de/sfs/BAVM_link.php?BAVMnr=215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52" TargetMode="External"/><Relationship Id="rId21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5502" TargetMode="External"/><Relationship Id="rId12" Type="http://schemas.openxmlformats.org/officeDocument/2006/relationships/hyperlink" Target="http://www.konkoly.hu/cgi-bin/IBVS?5931" TargetMode="External"/><Relationship Id="rId17" Type="http://schemas.openxmlformats.org/officeDocument/2006/relationships/hyperlink" Target="http://www.konkoly.hu/cgi-bin/IBVS?5920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konkoly.hu/cgi-bin/IBVS?5894" TargetMode="External"/><Relationship Id="rId20" Type="http://schemas.openxmlformats.org/officeDocument/2006/relationships/hyperlink" Target="http://vsolj.cetus-net.org/no47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www.konkoly.hu/cgi-bin/IBVS?5931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3925" TargetMode="External"/><Relationship Id="rId15" Type="http://schemas.openxmlformats.org/officeDocument/2006/relationships/hyperlink" Target="http://www.bav-astro.de/sfs/BAVM_link.php?BAVMnr=209" TargetMode="External"/><Relationship Id="rId23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bav-astro.de/sfs/BAVM_link.php?BAVMnr=52" TargetMode="External"/><Relationship Id="rId9" Type="http://schemas.openxmlformats.org/officeDocument/2006/relationships/hyperlink" Target="http://www.konkoly.hu/cgi-bin/IBVS?5672" TargetMode="External"/><Relationship Id="rId14" Type="http://schemas.openxmlformats.org/officeDocument/2006/relationships/hyperlink" Target="http://www.konkoly.hu/cgi-bin/IBVS?5931" TargetMode="External"/><Relationship Id="rId22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tabSelected="1" workbookViewId="0">
      <pane xSplit="13" ySplit="22" topLeftCell="N62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20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s="43" customFormat="1" ht="12.95" customHeight="1" x14ac:dyDescent="0.2">
      <c r="A2" s="43" t="s">
        <v>1</v>
      </c>
      <c r="B2" s="44" t="s">
        <v>2</v>
      </c>
    </row>
    <row r="3" spans="1:6" s="43" customFormat="1" ht="12.95" customHeight="1" x14ac:dyDescent="0.2">
      <c r="C3" s="43" t="s">
        <v>3</v>
      </c>
    </row>
    <row r="4" spans="1:6" s="43" customFormat="1" ht="12.95" customHeight="1" x14ac:dyDescent="0.2">
      <c r="A4" s="45" t="s">
        <v>4</v>
      </c>
      <c r="C4" s="46">
        <v>32216.366999999998</v>
      </c>
      <c r="D4" s="47">
        <v>1.810524</v>
      </c>
    </row>
    <row r="5" spans="1:6" s="43" customFormat="1" ht="12.95" customHeight="1" x14ac:dyDescent="0.2">
      <c r="A5" s="48" t="s">
        <v>5</v>
      </c>
      <c r="C5" s="49">
        <v>-9.5</v>
      </c>
      <c r="D5" s="43" t="s">
        <v>6</v>
      </c>
    </row>
    <row r="6" spans="1:6" s="43" customFormat="1" ht="12.95" customHeight="1" x14ac:dyDescent="0.2">
      <c r="A6" s="45" t="s">
        <v>7</v>
      </c>
    </row>
    <row r="7" spans="1:6" s="43" customFormat="1" ht="12.95" customHeight="1" x14ac:dyDescent="0.2">
      <c r="A7" s="43" t="s">
        <v>8</v>
      </c>
      <c r="C7" s="43">
        <f>+C4</f>
        <v>32216.366999999998</v>
      </c>
    </row>
    <row r="8" spans="1:6" s="43" customFormat="1" ht="12.95" customHeight="1" x14ac:dyDescent="0.2">
      <c r="A8" s="43" t="s">
        <v>9</v>
      </c>
      <c r="C8" s="43">
        <f>+D4</f>
        <v>1.810524</v>
      </c>
    </row>
    <row r="9" spans="1:6" s="43" customFormat="1" ht="12.95" customHeight="1" x14ac:dyDescent="0.2">
      <c r="A9" s="50" t="s">
        <v>10</v>
      </c>
      <c r="B9" s="51">
        <v>46</v>
      </c>
      <c r="C9" s="52" t="str">
        <f>"F"&amp;B9</f>
        <v>F46</v>
      </c>
      <c r="D9" s="11" t="str">
        <f>"G"&amp;B9</f>
        <v>G46</v>
      </c>
    </row>
    <row r="10" spans="1:6" s="43" customFormat="1" ht="12.95" customHeight="1" x14ac:dyDescent="0.2">
      <c r="C10" s="53" t="s">
        <v>11</v>
      </c>
      <c r="D10" s="53" t="s">
        <v>12</v>
      </c>
    </row>
    <row r="11" spans="1:6" s="43" customFormat="1" ht="12.95" customHeight="1" x14ac:dyDescent="0.2">
      <c r="A11" s="43" t="s">
        <v>13</v>
      </c>
      <c r="C11" s="11">
        <f ca="1">INTERCEPT(INDIRECT($D$9):G990,INDIRECT($C$9):F990)</f>
        <v>-1.5896187172068185E-2</v>
      </c>
      <c r="D11" s="54"/>
    </row>
    <row r="12" spans="1:6" s="43" customFormat="1" ht="12.95" customHeight="1" x14ac:dyDescent="0.2">
      <c r="A12" s="43" t="s">
        <v>14</v>
      </c>
      <c r="C12" s="11">
        <f ca="1">SLOPE(INDIRECT($D$9):G990,INDIRECT($C$9):F990)</f>
        <v>3.8184383135100808E-6</v>
      </c>
      <c r="D12" s="54"/>
    </row>
    <row r="13" spans="1:6" s="43" customFormat="1" ht="12.95" customHeight="1" x14ac:dyDescent="0.2">
      <c r="A13" s="43" t="s">
        <v>15</v>
      </c>
      <c r="C13" s="54" t="s">
        <v>16</v>
      </c>
    </row>
    <row r="14" spans="1:6" s="43" customFormat="1" ht="12.95" customHeight="1" x14ac:dyDescent="0.2"/>
    <row r="15" spans="1:6" s="43" customFormat="1" ht="12.95" customHeight="1" x14ac:dyDescent="0.2">
      <c r="A15" s="45" t="s">
        <v>17</v>
      </c>
      <c r="C15" s="55">
        <f ca="1">(C7+C11)+(C8+C12)*INT(MAX(F21:F3531))</f>
        <v>58179.320020218249</v>
      </c>
      <c r="E15" s="50" t="s">
        <v>18</v>
      </c>
      <c r="F15" s="49">
        <v>1</v>
      </c>
    </row>
    <row r="16" spans="1:6" s="43" customFormat="1" ht="12.95" customHeight="1" x14ac:dyDescent="0.2">
      <c r="A16" s="45" t="s">
        <v>19</v>
      </c>
      <c r="C16" s="55">
        <f ca="1">+C8+C12</f>
        <v>1.8105278184383136</v>
      </c>
      <c r="E16" s="50" t="s">
        <v>20</v>
      </c>
      <c r="F16" s="11">
        <f ca="1">NOW()+15018.5+$C$5/24</f>
        <v>60368.797324884254</v>
      </c>
    </row>
    <row r="17" spans="1:21" s="43" customFormat="1" ht="12.95" customHeight="1" x14ac:dyDescent="0.2">
      <c r="A17" s="50" t="s">
        <v>21</v>
      </c>
      <c r="C17" s="43">
        <f>COUNT(C21:C2189)</f>
        <v>59</v>
      </c>
      <c r="E17" s="50" t="s">
        <v>22</v>
      </c>
      <c r="F17" s="11">
        <f ca="1">ROUND(2*(F16-$C$7)/$C$8,0)/2+F15</f>
        <v>15550.5</v>
      </c>
    </row>
    <row r="18" spans="1:21" s="43" customFormat="1" ht="12.95" customHeight="1" x14ac:dyDescent="0.2">
      <c r="A18" s="45" t="s">
        <v>23</v>
      </c>
      <c r="C18" s="46">
        <f ca="1">+C15</f>
        <v>58179.320020218249</v>
      </c>
      <c r="D18" s="47">
        <f ca="1">+C16</f>
        <v>1.8105278184383136</v>
      </c>
      <c r="E18" s="50" t="s">
        <v>24</v>
      </c>
      <c r="F18" s="11">
        <f ca="1">ROUND(2*(F16-$C$15)/$C$16,0)/2+F15</f>
        <v>1210.5</v>
      </c>
    </row>
    <row r="19" spans="1:21" s="43" customFormat="1" ht="12.95" customHeight="1" x14ac:dyDescent="0.2">
      <c r="E19" s="50" t="s">
        <v>25</v>
      </c>
      <c r="F19" s="56">
        <f ca="1">+$C$15+$C$16*F18-15018.5-$C$5/24</f>
        <v>45352.859777771162</v>
      </c>
    </row>
    <row r="20" spans="1:21" s="43" customFormat="1" ht="12.95" customHeight="1" x14ac:dyDescent="0.2">
      <c r="A20" s="53" t="s">
        <v>26</v>
      </c>
      <c r="B20" s="53" t="s">
        <v>27</v>
      </c>
      <c r="C20" s="53" t="s">
        <v>28</v>
      </c>
      <c r="D20" s="53" t="s">
        <v>29</v>
      </c>
      <c r="E20" s="53" t="s">
        <v>30</v>
      </c>
      <c r="F20" s="53" t="s">
        <v>31</v>
      </c>
      <c r="G20" s="53" t="s">
        <v>32</v>
      </c>
      <c r="H20" s="57" t="s">
        <v>33</v>
      </c>
      <c r="I20" s="57" t="s">
        <v>34</v>
      </c>
      <c r="J20" s="57" t="s">
        <v>35</v>
      </c>
      <c r="K20" s="57" t="s">
        <v>36</v>
      </c>
      <c r="L20" s="57" t="s">
        <v>37</v>
      </c>
      <c r="M20" s="57" t="s">
        <v>38</v>
      </c>
      <c r="N20" s="57" t="s">
        <v>39</v>
      </c>
      <c r="O20" s="57" t="s">
        <v>40</v>
      </c>
      <c r="P20" s="57" t="s">
        <v>41</v>
      </c>
      <c r="Q20" s="53" t="s">
        <v>42</v>
      </c>
      <c r="U20" s="58" t="s">
        <v>43</v>
      </c>
    </row>
    <row r="21" spans="1:21" s="43" customFormat="1" ht="12.95" customHeight="1" x14ac:dyDescent="0.2">
      <c r="A21" s="43" t="s">
        <v>44</v>
      </c>
      <c r="C21" s="59">
        <v>25890.400000000001</v>
      </c>
      <c r="D21" s="59"/>
      <c r="E21" s="43">
        <f t="shared" ref="E21:E47" si="0">+(C21-C$7)/C$8</f>
        <v>-3493.9978702298322</v>
      </c>
      <c r="F21" s="43">
        <f t="shared" ref="F21:F47" si="1">ROUND(2*E21,0)/2</f>
        <v>-3494</v>
      </c>
      <c r="G21" s="43">
        <f t="shared" ref="G21:G44" si="2">+C21-(C$7+F21*C$8)</f>
        <v>3.8560000029974617E-3</v>
      </c>
      <c r="H21" s="43">
        <f t="shared" ref="H21:H36" si="3">+G21</f>
        <v>3.8560000029974617E-3</v>
      </c>
      <c r="O21" s="43">
        <f t="shared" ref="O21:O52" ca="1" si="4">+C$11+C$12*$F21</f>
        <v>-2.9237810639472409E-2</v>
      </c>
      <c r="Q21" s="60">
        <f t="shared" ref="Q21:Q47" si="5">+C21-15018.5</f>
        <v>10871.900000000001</v>
      </c>
    </row>
    <row r="22" spans="1:21" s="43" customFormat="1" ht="12.95" customHeight="1" x14ac:dyDescent="0.2">
      <c r="A22" s="61" t="s">
        <v>45</v>
      </c>
      <c r="B22" s="62" t="s">
        <v>46</v>
      </c>
      <c r="C22" s="63">
        <v>26417.26</v>
      </c>
      <c r="D22" s="14"/>
      <c r="E22" s="43">
        <f t="shared" si="0"/>
        <v>-3202.9992422083328</v>
      </c>
      <c r="F22" s="43">
        <f t="shared" si="1"/>
        <v>-3203</v>
      </c>
      <c r="G22" s="43">
        <f t="shared" si="2"/>
        <v>1.3719999988097697E-3</v>
      </c>
      <c r="H22" s="43">
        <f t="shared" si="3"/>
        <v>1.3719999988097697E-3</v>
      </c>
      <c r="O22" s="43">
        <f t="shared" ca="1" si="4"/>
        <v>-2.8126645090240973E-2</v>
      </c>
      <c r="Q22" s="60">
        <f t="shared" si="5"/>
        <v>11398.759999999998</v>
      </c>
    </row>
    <row r="23" spans="1:21" s="43" customFormat="1" ht="12.95" customHeight="1" x14ac:dyDescent="0.2">
      <c r="A23" s="61" t="s">
        <v>45</v>
      </c>
      <c r="B23" s="62" t="s">
        <v>46</v>
      </c>
      <c r="C23" s="63">
        <v>26426.309000000001</v>
      </c>
      <c r="D23" s="14"/>
      <c r="E23" s="43">
        <f t="shared" si="0"/>
        <v>-3198.0012416294935</v>
      </c>
      <c r="F23" s="43">
        <f t="shared" si="1"/>
        <v>-3198</v>
      </c>
      <c r="G23" s="43">
        <f t="shared" si="2"/>
        <v>-2.2479999970528297E-3</v>
      </c>
      <c r="H23" s="43">
        <f t="shared" si="3"/>
        <v>-2.2479999970528297E-3</v>
      </c>
      <c r="O23" s="43">
        <f t="shared" ca="1" si="4"/>
        <v>-2.8107552898673421E-2</v>
      </c>
      <c r="Q23" s="60">
        <f t="shared" si="5"/>
        <v>11407.809000000001</v>
      </c>
    </row>
    <row r="24" spans="1:21" s="43" customFormat="1" ht="12.95" customHeight="1" x14ac:dyDescent="0.2">
      <c r="A24" s="61" t="s">
        <v>45</v>
      </c>
      <c r="B24" s="62" t="s">
        <v>46</v>
      </c>
      <c r="C24" s="63">
        <v>27161.382000000001</v>
      </c>
      <c r="D24" s="59"/>
      <c r="E24" s="43">
        <f t="shared" si="0"/>
        <v>-2792.0011002339638</v>
      </c>
      <c r="F24" s="43">
        <f t="shared" si="1"/>
        <v>-2792</v>
      </c>
      <c r="G24" s="43">
        <f t="shared" si="2"/>
        <v>-1.9919999976991676E-3</v>
      </c>
      <c r="H24" s="43">
        <f t="shared" si="3"/>
        <v>-1.9919999976991676E-3</v>
      </c>
      <c r="O24" s="43">
        <f t="shared" ca="1" si="4"/>
        <v>-2.6557266943388329E-2</v>
      </c>
      <c r="Q24" s="60">
        <f t="shared" si="5"/>
        <v>12142.882000000001</v>
      </c>
    </row>
    <row r="25" spans="1:21" s="43" customFormat="1" ht="12.95" customHeight="1" x14ac:dyDescent="0.2">
      <c r="A25" s="61" t="s">
        <v>45</v>
      </c>
      <c r="B25" s="62" t="s">
        <v>46</v>
      </c>
      <c r="C25" s="63">
        <v>27811.363000000001</v>
      </c>
      <c r="D25" s="59"/>
      <c r="E25" s="43">
        <f t="shared" si="0"/>
        <v>-2432.9995073249497</v>
      </c>
      <c r="F25" s="43">
        <f t="shared" si="1"/>
        <v>-2433</v>
      </c>
      <c r="G25" s="43">
        <f t="shared" si="2"/>
        <v>8.9200000365963206E-4</v>
      </c>
      <c r="H25" s="43">
        <f t="shared" si="3"/>
        <v>8.9200000365963206E-4</v>
      </c>
      <c r="O25" s="43">
        <f t="shared" ca="1" si="4"/>
        <v>-2.5186447588838212E-2</v>
      </c>
      <c r="Q25" s="60">
        <f t="shared" si="5"/>
        <v>12792.863000000001</v>
      </c>
    </row>
    <row r="26" spans="1:21" s="43" customFormat="1" ht="12.95" customHeight="1" x14ac:dyDescent="0.2">
      <c r="A26" s="61" t="s">
        <v>45</v>
      </c>
      <c r="B26" s="62" t="s">
        <v>46</v>
      </c>
      <c r="C26" s="63">
        <v>28548.253000000001</v>
      </c>
      <c r="D26" s="59"/>
      <c r="E26" s="43">
        <f t="shared" si="0"/>
        <v>-2025.99578906438</v>
      </c>
      <c r="F26" s="43">
        <f t="shared" si="1"/>
        <v>-2026</v>
      </c>
      <c r="G26" s="43">
        <f t="shared" si="2"/>
        <v>7.6240000016696285E-3</v>
      </c>
      <c r="H26" s="43">
        <f t="shared" si="3"/>
        <v>7.6240000016696285E-3</v>
      </c>
      <c r="O26" s="43">
        <f t="shared" ca="1" si="4"/>
        <v>-2.3632343195239609E-2</v>
      </c>
      <c r="Q26" s="60">
        <f t="shared" si="5"/>
        <v>13529.753000000001</v>
      </c>
    </row>
    <row r="27" spans="1:21" s="43" customFormat="1" ht="12.95" customHeight="1" x14ac:dyDescent="0.2">
      <c r="A27" s="61" t="s">
        <v>45</v>
      </c>
      <c r="B27" s="62" t="s">
        <v>46</v>
      </c>
      <c r="C27" s="63">
        <v>28812.592000000001</v>
      </c>
      <c r="D27" s="59"/>
      <c r="E27" s="43">
        <f t="shared" si="0"/>
        <v>-1879.9944104579656</v>
      </c>
      <c r="F27" s="43">
        <f t="shared" si="1"/>
        <v>-1880</v>
      </c>
      <c r="G27" s="43">
        <f t="shared" si="2"/>
        <v>1.0120000002643792E-2</v>
      </c>
      <c r="H27" s="43">
        <f t="shared" si="3"/>
        <v>1.0120000002643792E-2</v>
      </c>
      <c r="O27" s="43">
        <f t="shared" ca="1" si="4"/>
        <v>-2.3074851201467135E-2</v>
      </c>
      <c r="Q27" s="60">
        <f t="shared" si="5"/>
        <v>13794.092000000001</v>
      </c>
    </row>
    <row r="28" spans="1:21" s="43" customFormat="1" ht="12.95" customHeight="1" x14ac:dyDescent="0.2">
      <c r="A28" s="43" t="s">
        <v>47</v>
      </c>
      <c r="C28" s="59">
        <v>30693.726999999999</v>
      </c>
      <c r="D28" s="59"/>
      <c r="E28" s="43">
        <f t="shared" si="0"/>
        <v>-840.99409894594021</v>
      </c>
      <c r="F28" s="43">
        <f t="shared" si="1"/>
        <v>-841</v>
      </c>
      <c r="G28" s="43">
        <f t="shared" si="2"/>
        <v>1.0684000000765081E-2</v>
      </c>
      <c r="H28" s="43">
        <f t="shared" si="3"/>
        <v>1.0684000000765081E-2</v>
      </c>
      <c r="O28" s="43">
        <f t="shared" ca="1" si="4"/>
        <v>-1.9107493793730165E-2</v>
      </c>
      <c r="Q28" s="60">
        <f t="shared" si="5"/>
        <v>15675.226999999999</v>
      </c>
    </row>
    <row r="29" spans="1:21" s="43" customFormat="1" ht="12.95" customHeight="1" x14ac:dyDescent="0.2">
      <c r="A29" s="61" t="s">
        <v>45</v>
      </c>
      <c r="B29" s="62" t="s">
        <v>46</v>
      </c>
      <c r="C29" s="63">
        <v>30793.297999999999</v>
      </c>
      <c r="D29" s="59"/>
      <c r="E29" s="43">
        <f t="shared" si="0"/>
        <v>-785.99841813751129</v>
      </c>
      <c r="F29" s="43">
        <f t="shared" si="1"/>
        <v>-786</v>
      </c>
      <c r="G29" s="43">
        <f t="shared" si="2"/>
        <v>2.8640000018640421E-3</v>
      </c>
      <c r="H29" s="43">
        <f t="shared" si="3"/>
        <v>2.8640000018640421E-3</v>
      </c>
      <c r="O29" s="43">
        <f t="shared" ca="1" si="4"/>
        <v>-1.8897479686487108E-2</v>
      </c>
      <c r="Q29" s="60">
        <f t="shared" si="5"/>
        <v>15774.797999999999</v>
      </c>
    </row>
    <row r="30" spans="1:21" s="43" customFormat="1" ht="12.95" customHeight="1" x14ac:dyDescent="0.2">
      <c r="A30" s="61" t="s">
        <v>48</v>
      </c>
      <c r="B30" s="62" t="s">
        <v>46</v>
      </c>
      <c r="C30" s="63">
        <v>31075.72</v>
      </c>
      <c r="D30" s="59"/>
      <c r="E30" s="43">
        <f t="shared" si="0"/>
        <v>-630.0093232677375</v>
      </c>
      <c r="F30" s="43">
        <f t="shared" si="1"/>
        <v>-630</v>
      </c>
      <c r="G30" s="43">
        <f t="shared" si="2"/>
        <v>-1.6879999995580874E-2</v>
      </c>
      <c r="H30" s="43">
        <f t="shared" si="3"/>
        <v>-1.6879999995580874E-2</v>
      </c>
      <c r="O30" s="43">
        <f t="shared" ca="1" si="4"/>
        <v>-1.8301803309579538E-2</v>
      </c>
      <c r="Q30" s="60">
        <f t="shared" si="5"/>
        <v>16057.220000000001</v>
      </c>
    </row>
    <row r="31" spans="1:21" s="43" customFormat="1" ht="12.95" customHeight="1" x14ac:dyDescent="0.2">
      <c r="A31" s="61" t="s">
        <v>45</v>
      </c>
      <c r="B31" s="62" t="s">
        <v>46</v>
      </c>
      <c r="C31" s="63">
        <v>31146.35</v>
      </c>
      <c r="D31" s="59"/>
      <c r="E31" s="43">
        <f t="shared" si="0"/>
        <v>-590.99851755624331</v>
      </c>
      <c r="F31" s="43">
        <f t="shared" si="1"/>
        <v>-591</v>
      </c>
      <c r="G31" s="43">
        <f t="shared" si="2"/>
        <v>2.683999999135267E-3</v>
      </c>
      <c r="H31" s="43">
        <f t="shared" si="3"/>
        <v>2.683999999135267E-3</v>
      </c>
      <c r="O31" s="43">
        <f t="shared" ca="1" si="4"/>
        <v>-1.8152884215352643E-2</v>
      </c>
      <c r="Q31" s="60">
        <f t="shared" si="5"/>
        <v>16127.849999999999</v>
      </c>
    </row>
    <row r="32" spans="1:21" s="43" customFormat="1" ht="12.95" customHeight="1" x14ac:dyDescent="0.2">
      <c r="A32" s="43" t="s">
        <v>47</v>
      </c>
      <c r="C32" s="59">
        <v>31497.599999999999</v>
      </c>
      <c r="D32" s="59"/>
      <c r="E32" s="43">
        <f t="shared" si="0"/>
        <v>-396.9939089456974</v>
      </c>
      <c r="F32" s="43">
        <f t="shared" si="1"/>
        <v>-397</v>
      </c>
      <c r="G32" s="43">
        <f t="shared" si="2"/>
        <v>1.102800000080606E-2</v>
      </c>
      <c r="H32" s="43">
        <f t="shared" si="3"/>
        <v>1.102800000080606E-2</v>
      </c>
      <c r="O32" s="43">
        <f t="shared" ca="1" si="4"/>
        <v>-1.7412107182531687E-2</v>
      </c>
      <c r="Q32" s="60">
        <f t="shared" si="5"/>
        <v>16479.099999999999</v>
      </c>
    </row>
    <row r="33" spans="1:33" x14ac:dyDescent="0.2">
      <c r="A33" s="1" t="s">
        <v>47</v>
      </c>
      <c r="C33" s="5">
        <v>31772.793000000001</v>
      </c>
      <c r="D33" s="5"/>
      <c r="E33" s="1">
        <f t="shared" si="0"/>
        <v>-244.99758081085744</v>
      </c>
      <c r="F33" s="1">
        <f t="shared" si="1"/>
        <v>-245</v>
      </c>
      <c r="G33" s="1">
        <f t="shared" si="2"/>
        <v>4.3800000021292362E-3</v>
      </c>
      <c r="H33" s="1">
        <f t="shared" si="3"/>
        <v>4.3800000021292362E-3</v>
      </c>
      <c r="O33" s="1">
        <f t="shared" ca="1" si="4"/>
        <v>-1.6831704558878155E-2</v>
      </c>
      <c r="Q33" s="6">
        <f t="shared" si="5"/>
        <v>16754.293000000001</v>
      </c>
    </row>
    <row r="34" spans="1:33" x14ac:dyDescent="0.2">
      <c r="A34" s="1" t="s">
        <v>49</v>
      </c>
      <c r="C34" s="5">
        <v>32216.366999999998</v>
      </c>
      <c r="D34" s="5" t="s">
        <v>16</v>
      </c>
      <c r="E34" s="1">
        <f t="shared" si="0"/>
        <v>0</v>
      </c>
      <c r="F34" s="1">
        <f t="shared" si="1"/>
        <v>0</v>
      </c>
      <c r="G34" s="1">
        <f t="shared" si="2"/>
        <v>0</v>
      </c>
      <c r="H34" s="1">
        <f t="shared" si="3"/>
        <v>0</v>
      </c>
      <c r="O34" s="1">
        <f t="shared" ca="1" si="4"/>
        <v>-1.5896187172068185E-2</v>
      </c>
      <c r="Q34" s="6">
        <f t="shared" si="5"/>
        <v>17197.866999999998</v>
      </c>
    </row>
    <row r="35" spans="1:33" x14ac:dyDescent="0.2">
      <c r="A35" s="7" t="s">
        <v>45</v>
      </c>
      <c r="B35" s="8" t="s">
        <v>46</v>
      </c>
      <c r="C35" s="9">
        <v>32609.241999999998</v>
      </c>
      <c r="D35" s="5"/>
      <c r="E35" s="1">
        <f t="shared" si="0"/>
        <v>216.99519034268533</v>
      </c>
      <c r="F35" s="1">
        <f t="shared" si="1"/>
        <v>217</v>
      </c>
      <c r="G35" s="1">
        <f t="shared" si="2"/>
        <v>-8.7080000012065284E-3</v>
      </c>
      <c r="H35" s="1">
        <f t="shared" si="3"/>
        <v>-8.7080000012065284E-3</v>
      </c>
      <c r="O35" s="1">
        <f t="shared" ca="1" si="4"/>
        <v>-1.5067586058036498E-2</v>
      </c>
      <c r="Q35" s="6">
        <f t="shared" si="5"/>
        <v>17590.741999999998</v>
      </c>
    </row>
    <row r="36" spans="1:33" x14ac:dyDescent="0.2">
      <c r="A36" s="7" t="s">
        <v>50</v>
      </c>
      <c r="B36" s="8" t="s">
        <v>46</v>
      </c>
      <c r="C36" s="9">
        <v>33688.313999999998</v>
      </c>
      <c r="D36" s="5"/>
      <c r="E36" s="1">
        <f t="shared" si="0"/>
        <v>812.99502243549387</v>
      </c>
      <c r="F36" s="1">
        <f t="shared" si="1"/>
        <v>813</v>
      </c>
      <c r="G36" s="1">
        <f t="shared" si="2"/>
        <v>-9.0120000022579916E-3</v>
      </c>
      <c r="H36" s="1">
        <f t="shared" si="3"/>
        <v>-9.0120000022579916E-3</v>
      </c>
      <c r="O36" s="1">
        <f t="shared" ca="1" si="4"/>
        <v>-1.279179682318449E-2</v>
      </c>
      <c r="Q36" s="6">
        <f t="shared" si="5"/>
        <v>18669.813999999998</v>
      </c>
    </row>
    <row r="37" spans="1:33" x14ac:dyDescent="0.2">
      <c r="A37" s="11" t="s">
        <v>51</v>
      </c>
      <c r="B37" s="12"/>
      <c r="C37" s="5">
        <v>38446.39</v>
      </c>
      <c r="D37" s="13"/>
      <c r="E37" s="1">
        <f t="shared" si="0"/>
        <v>3441.0054768674709</v>
      </c>
      <c r="F37" s="1">
        <f t="shared" si="1"/>
        <v>3441</v>
      </c>
      <c r="G37" s="1">
        <f t="shared" si="2"/>
        <v>9.9160000027040951E-3</v>
      </c>
      <c r="I37" s="1">
        <f>+G37</f>
        <v>9.9160000027040951E-3</v>
      </c>
      <c r="O37" s="1">
        <f t="shared" ca="1" si="4"/>
        <v>-2.7569409352799969E-3</v>
      </c>
      <c r="Q37" s="6">
        <f t="shared" si="5"/>
        <v>23427.89</v>
      </c>
    </row>
    <row r="38" spans="1:33" x14ac:dyDescent="0.2">
      <c r="A38" s="1" t="s">
        <v>52</v>
      </c>
      <c r="C38" s="5">
        <v>42833.288999999997</v>
      </c>
      <c r="D38" s="5"/>
      <c r="E38" s="1">
        <f t="shared" si="0"/>
        <v>5864.0051167507299</v>
      </c>
      <c r="F38" s="1">
        <f t="shared" si="1"/>
        <v>5864</v>
      </c>
      <c r="G38" s="1">
        <f t="shared" si="2"/>
        <v>9.2640000002575107E-3</v>
      </c>
      <c r="H38" s="1">
        <f>+G38</f>
        <v>9.2640000002575107E-3</v>
      </c>
      <c r="I38" s="1">
        <f t="shared" ref="I38:I47" si="6">+G38</f>
        <v>9.2640000002575107E-3</v>
      </c>
      <c r="O38" s="1">
        <f t="shared" ca="1" si="4"/>
        <v>6.4951350983549275E-3</v>
      </c>
      <c r="Q38" s="6">
        <f t="shared" si="5"/>
        <v>27814.788999999997</v>
      </c>
    </row>
    <row r="39" spans="1:33" x14ac:dyDescent="0.2">
      <c r="A39" s="1" t="s">
        <v>53</v>
      </c>
      <c r="C39" s="5">
        <v>46110.347000000002</v>
      </c>
      <c r="D39" s="5"/>
      <c r="E39" s="1">
        <f t="shared" si="0"/>
        <v>7674.0103969900447</v>
      </c>
      <c r="F39" s="1">
        <f t="shared" si="1"/>
        <v>7674</v>
      </c>
      <c r="G39" s="1">
        <f t="shared" si="2"/>
        <v>1.8824000006134156E-2</v>
      </c>
      <c r="I39" s="1">
        <f t="shared" si="6"/>
        <v>1.8824000006134156E-2</v>
      </c>
      <c r="O39" s="1">
        <f t="shared" ca="1" si="4"/>
        <v>1.3406508445808176E-2</v>
      </c>
      <c r="Q39" s="6">
        <f t="shared" si="5"/>
        <v>31091.847000000002</v>
      </c>
      <c r="AB39" s="1" t="s">
        <v>54</v>
      </c>
      <c r="AG39" s="1" t="s">
        <v>55</v>
      </c>
    </row>
    <row r="40" spans="1:33" x14ac:dyDescent="0.2">
      <c r="A40" s="1" t="s">
        <v>56</v>
      </c>
      <c r="C40" s="5">
        <v>47209.345000000001</v>
      </c>
      <c r="D40" s="5"/>
      <c r="E40" s="1">
        <f t="shared" si="0"/>
        <v>8281.0158826947354</v>
      </c>
      <c r="F40" s="1">
        <f t="shared" si="1"/>
        <v>8281</v>
      </c>
      <c r="G40" s="1">
        <f t="shared" si="2"/>
        <v>2.8755999999702908E-2</v>
      </c>
      <c r="I40" s="1">
        <f t="shared" si="6"/>
        <v>2.8755999999702908E-2</v>
      </c>
      <c r="J40" s="1">
        <f>+G40</f>
        <v>2.8755999999702908E-2</v>
      </c>
      <c r="O40" s="1">
        <f t="shared" ca="1" si="4"/>
        <v>1.5724300502108796E-2</v>
      </c>
      <c r="Q40" s="6">
        <f t="shared" si="5"/>
        <v>32190.845000000001</v>
      </c>
      <c r="AB40" s="1" t="s">
        <v>54</v>
      </c>
      <c r="AC40" s="1">
        <v>11</v>
      </c>
      <c r="AE40" s="1" t="s">
        <v>57</v>
      </c>
      <c r="AG40" s="1" t="s">
        <v>58</v>
      </c>
    </row>
    <row r="41" spans="1:33" x14ac:dyDescent="0.2">
      <c r="A41" s="1" t="s">
        <v>59</v>
      </c>
      <c r="C41" s="5">
        <v>47553.328000000001</v>
      </c>
      <c r="D41" s="5"/>
      <c r="E41" s="1">
        <f t="shared" si="0"/>
        <v>8471.0067361714082</v>
      </c>
      <c r="F41" s="1">
        <f t="shared" si="1"/>
        <v>8471</v>
      </c>
      <c r="G41" s="1">
        <f t="shared" si="2"/>
        <v>1.2196000003314111E-2</v>
      </c>
      <c r="I41" s="1">
        <f t="shared" si="6"/>
        <v>1.2196000003314111E-2</v>
      </c>
      <c r="J41" s="1">
        <f>+G41</f>
        <v>1.2196000003314111E-2</v>
      </c>
      <c r="O41" s="1">
        <f t="shared" ca="1" si="4"/>
        <v>1.6449803781675709E-2</v>
      </c>
      <c r="Q41" s="6">
        <f t="shared" si="5"/>
        <v>32534.828000000001</v>
      </c>
      <c r="AB41" s="1" t="s">
        <v>54</v>
      </c>
      <c r="AC41" s="1">
        <v>7</v>
      </c>
      <c r="AE41" s="1" t="s">
        <v>57</v>
      </c>
      <c r="AG41" s="1" t="s">
        <v>58</v>
      </c>
    </row>
    <row r="42" spans="1:33" x14ac:dyDescent="0.2">
      <c r="A42" s="1" t="s">
        <v>60</v>
      </c>
      <c r="C42" s="5">
        <v>47553.330999999998</v>
      </c>
      <c r="D42" s="5"/>
      <c r="E42" s="1">
        <f t="shared" si="0"/>
        <v>8471.0083931502704</v>
      </c>
      <c r="F42" s="1">
        <f t="shared" si="1"/>
        <v>8471</v>
      </c>
      <c r="G42" s="1">
        <f t="shared" si="2"/>
        <v>1.5196000000287313E-2</v>
      </c>
      <c r="I42" s="1">
        <f t="shared" si="6"/>
        <v>1.5196000000287313E-2</v>
      </c>
      <c r="O42" s="1">
        <f t="shared" ca="1" si="4"/>
        <v>1.6449803781675709E-2</v>
      </c>
      <c r="Q42" s="6">
        <f t="shared" si="5"/>
        <v>32534.830999999998</v>
      </c>
      <c r="AB42" s="1" t="s">
        <v>33</v>
      </c>
      <c r="AG42" s="1" t="s">
        <v>55</v>
      </c>
    </row>
    <row r="43" spans="1:33" x14ac:dyDescent="0.2">
      <c r="A43" s="1" t="s">
        <v>61</v>
      </c>
      <c r="C43" s="5">
        <v>47553.334999999999</v>
      </c>
      <c r="D43" s="5"/>
      <c r="E43" s="1">
        <f t="shared" si="0"/>
        <v>8471.0106024554225</v>
      </c>
      <c r="F43" s="1">
        <f t="shared" si="1"/>
        <v>8471</v>
      </c>
      <c r="G43" s="1">
        <f t="shared" si="2"/>
        <v>1.919600000110222E-2</v>
      </c>
      <c r="I43" s="1">
        <f t="shared" si="6"/>
        <v>1.919600000110222E-2</v>
      </c>
      <c r="N43" s="1">
        <f>+G43</f>
        <v>1.919600000110222E-2</v>
      </c>
      <c r="O43" s="1">
        <f t="shared" ca="1" si="4"/>
        <v>1.6449803781675709E-2</v>
      </c>
      <c r="Q43" s="6">
        <f t="shared" si="5"/>
        <v>32534.834999999999</v>
      </c>
    </row>
    <row r="44" spans="1:33" x14ac:dyDescent="0.2">
      <c r="A44" s="1" t="s">
        <v>60</v>
      </c>
      <c r="C44" s="5">
        <v>47562.389000000003</v>
      </c>
      <c r="D44" s="5"/>
      <c r="E44" s="1">
        <f t="shared" si="0"/>
        <v>8476.011364665701</v>
      </c>
      <c r="F44" s="1">
        <f t="shared" si="1"/>
        <v>8476</v>
      </c>
      <c r="G44" s="1">
        <f t="shared" si="2"/>
        <v>2.0576000002620276E-2</v>
      </c>
      <c r="I44" s="1">
        <f t="shared" si="6"/>
        <v>2.0576000002620276E-2</v>
      </c>
      <c r="O44" s="1">
        <f t="shared" ca="1" si="4"/>
        <v>1.6468895973243261E-2</v>
      </c>
      <c r="Q44" s="6">
        <f t="shared" si="5"/>
        <v>32543.889000000003</v>
      </c>
      <c r="AB44" s="1" t="s">
        <v>33</v>
      </c>
      <c r="AG44" s="1" t="s">
        <v>55</v>
      </c>
    </row>
    <row r="45" spans="1:33" x14ac:dyDescent="0.2">
      <c r="A45" s="1" t="s">
        <v>62</v>
      </c>
      <c r="C45" s="5">
        <v>47924.472000000002</v>
      </c>
      <c r="D45" s="5"/>
      <c r="E45" s="1">
        <f t="shared" si="0"/>
        <v>8675.9993239526248</v>
      </c>
      <c r="F45" s="1">
        <f t="shared" si="1"/>
        <v>8676</v>
      </c>
      <c r="O45" s="1">
        <f t="shared" ca="1" si="4"/>
        <v>1.7232583635945278E-2</v>
      </c>
      <c r="Q45" s="6">
        <f t="shared" si="5"/>
        <v>32905.972000000002</v>
      </c>
      <c r="U45" s="3">
        <v>-1.2239999996381812E-3</v>
      </c>
      <c r="AB45" s="1" t="s">
        <v>54</v>
      </c>
      <c r="AC45" s="1">
        <v>12</v>
      </c>
      <c r="AE45" s="1" t="s">
        <v>57</v>
      </c>
      <c r="AG45" s="1" t="s">
        <v>58</v>
      </c>
    </row>
    <row r="46" spans="1:33" x14ac:dyDescent="0.2">
      <c r="A46" s="1" t="s">
        <v>63</v>
      </c>
      <c r="C46" s="5">
        <v>48308.317000000003</v>
      </c>
      <c r="D46" s="5"/>
      <c r="E46" s="1">
        <f t="shared" si="0"/>
        <v>8888.0070079159432</v>
      </c>
      <c r="F46" s="1">
        <f t="shared" si="1"/>
        <v>8888</v>
      </c>
      <c r="G46" s="1">
        <f t="shared" ref="G46:G78" si="7">+C46-(C$7+F46*C$8)</f>
        <v>1.2688000002526678E-2</v>
      </c>
      <c r="I46" s="1">
        <f t="shared" si="6"/>
        <v>1.2688000002526678E-2</v>
      </c>
      <c r="J46" s="1">
        <f>+G46</f>
        <v>1.2688000002526678E-2</v>
      </c>
      <c r="O46" s="1">
        <f t="shared" ca="1" si="4"/>
        <v>1.8042092558409412E-2</v>
      </c>
      <c r="Q46" s="6">
        <f t="shared" si="5"/>
        <v>33289.817000000003</v>
      </c>
      <c r="AB46" s="1" t="s">
        <v>54</v>
      </c>
      <c r="AC46" s="1">
        <v>7</v>
      </c>
      <c r="AE46" s="1" t="s">
        <v>64</v>
      </c>
      <c r="AG46" s="1" t="s">
        <v>58</v>
      </c>
    </row>
    <row r="47" spans="1:33" x14ac:dyDescent="0.2">
      <c r="A47" s="1" t="s">
        <v>65</v>
      </c>
      <c r="C47" s="5">
        <v>48652.33</v>
      </c>
      <c r="D47" s="5">
        <v>5.0000000000000001E-3</v>
      </c>
      <c r="E47" s="1">
        <f t="shared" si="0"/>
        <v>9078.014431181251</v>
      </c>
      <c r="F47" s="1">
        <f t="shared" si="1"/>
        <v>9078</v>
      </c>
      <c r="G47" s="1">
        <f t="shared" si="7"/>
        <v>2.6128000004973728E-2</v>
      </c>
      <c r="I47" s="1">
        <f t="shared" si="6"/>
        <v>2.6128000004973728E-2</v>
      </c>
      <c r="J47" s="1">
        <f>+G47</f>
        <v>2.6128000004973728E-2</v>
      </c>
      <c r="O47" s="1">
        <f t="shared" ca="1" si="4"/>
        <v>1.8767595837976325E-2</v>
      </c>
      <c r="Q47" s="6">
        <f t="shared" si="5"/>
        <v>33633.83</v>
      </c>
      <c r="AB47" s="1" t="s">
        <v>54</v>
      </c>
      <c r="AC47" s="1">
        <v>8</v>
      </c>
      <c r="AE47" s="1" t="s">
        <v>57</v>
      </c>
      <c r="AG47" s="1" t="s">
        <v>58</v>
      </c>
    </row>
    <row r="48" spans="1:33" x14ac:dyDescent="0.2">
      <c r="A48" s="1" t="s">
        <v>66</v>
      </c>
      <c r="C48" s="5">
        <v>49005.372300000003</v>
      </c>
      <c r="D48" s="5"/>
      <c r="E48" s="1">
        <f t="shared" ref="E48:E78" si="8">+(C48-C$7)/C$8</f>
        <v>9273.008974197528</v>
      </c>
      <c r="F48" s="1">
        <f t="shared" ref="F48:F79" si="9">ROUND(2*E48,0)/2</f>
        <v>9273</v>
      </c>
      <c r="G48" s="1">
        <f t="shared" si="7"/>
        <v>1.6247999999905005E-2</v>
      </c>
      <c r="J48" s="1">
        <f>+G48</f>
        <v>1.6247999999905005E-2</v>
      </c>
      <c r="O48" s="1">
        <f t="shared" ca="1" si="4"/>
        <v>1.9512191309110791E-2</v>
      </c>
      <c r="Q48" s="6">
        <f t="shared" ref="Q48:Q78" si="10">+C48-15018.5</f>
        <v>33986.872300000003</v>
      </c>
      <c r="AB48" s="1" t="s">
        <v>67</v>
      </c>
      <c r="AG48" s="1" t="s">
        <v>55</v>
      </c>
    </row>
    <row r="49" spans="1:33" x14ac:dyDescent="0.2">
      <c r="A49" s="1" t="s">
        <v>68</v>
      </c>
      <c r="C49" s="5">
        <v>49005.38</v>
      </c>
      <c r="D49" s="5">
        <v>7.0000000000000001E-3</v>
      </c>
      <c r="E49" s="1">
        <f t="shared" si="8"/>
        <v>9273.013227109941</v>
      </c>
      <c r="F49" s="1">
        <f t="shared" si="9"/>
        <v>9273</v>
      </c>
      <c r="G49" s="1">
        <f t="shared" si="7"/>
        <v>2.3947999994561542E-2</v>
      </c>
      <c r="I49" s="1">
        <f>+G49</f>
        <v>2.3947999994561542E-2</v>
      </c>
      <c r="O49" s="1">
        <f t="shared" ca="1" si="4"/>
        <v>1.9512191309110791E-2</v>
      </c>
      <c r="Q49" s="6">
        <f t="shared" si="10"/>
        <v>33986.879999999997</v>
      </c>
      <c r="AB49" s="1" t="s">
        <v>54</v>
      </c>
      <c r="AC49" s="1">
        <v>38</v>
      </c>
      <c r="AE49" s="1" t="s">
        <v>69</v>
      </c>
      <c r="AG49" s="1" t="s">
        <v>58</v>
      </c>
    </row>
    <row r="50" spans="1:33" x14ac:dyDescent="0.2">
      <c r="A50" s="1" t="s">
        <v>68</v>
      </c>
      <c r="C50" s="5">
        <v>49005.389000000003</v>
      </c>
      <c r="D50" s="5">
        <v>5.0000000000000001E-3</v>
      </c>
      <c r="E50" s="1">
        <f t="shared" si="8"/>
        <v>9273.018198046535</v>
      </c>
      <c r="F50" s="1">
        <f t="shared" si="9"/>
        <v>9273</v>
      </c>
      <c r="G50" s="1">
        <f t="shared" si="7"/>
        <v>3.2948000000033062E-2</v>
      </c>
      <c r="I50" s="1">
        <f>+G50</f>
        <v>3.2948000000033062E-2</v>
      </c>
      <c r="O50" s="1">
        <f t="shared" ca="1" si="4"/>
        <v>1.9512191309110791E-2</v>
      </c>
      <c r="Q50" s="6">
        <f t="shared" si="10"/>
        <v>33986.889000000003</v>
      </c>
      <c r="AB50" s="1" t="s">
        <v>54</v>
      </c>
      <c r="AC50" s="1">
        <v>10</v>
      </c>
      <c r="AE50" s="1" t="s">
        <v>57</v>
      </c>
      <c r="AG50" s="1" t="s">
        <v>58</v>
      </c>
    </row>
    <row r="51" spans="1:33" x14ac:dyDescent="0.2">
      <c r="A51" s="1" t="s">
        <v>70</v>
      </c>
      <c r="C51" s="5">
        <v>49416.370999999999</v>
      </c>
      <c r="D51" s="5"/>
      <c r="E51" s="1">
        <f t="shared" si="8"/>
        <v>9500.0143604834848</v>
      </c>
      <c r="F51" s="1">
        <f t="shared" si="9"/>
        <v>9500</v>
      </c>
      <c r="G51" s="1">
        <f t="shared" si="7"/>
        <v>2.599999999802094E-2</v>
      </c>
      <c r="I51" s="1">
        <f>+G51</f>
        <v>2.599999999802094E-2</v>
      </c>
      <c r="O51" s="1">
        <f t="shared" ca="1" si="4"/>
        <v>2.0378976806277579E-2</v>
      </c>
      <c r="Q51" s="6">
        <f t="shared" si="10"/>
        <v>34397.870999999999</v>
      </c>
      <c r="AB51" s="1" t="s">
        <v>54</v>
      </c>
      <c r="AC51" s="1">
        <v>8</v>
      </c>
      <c r="AE51" s="1" t="s">
        <v>57</v>
      </c>
      <c r="AG51" s="1" t="s">
        <v>58</v>
      </c>
    </row>
    <row r="52" spans="1:33" x14ac:dyDescent="0.2">
      <c r="A52" s="1" t="s">
        <v>71</v>
      </c>
      <c r="C52" s="5">
        <v>49789.334000000003</v>
      </c>
      <c r="D52" s="5">
        <v>6.0000000000000001E-3</v>
      </c>
      <c r="E52" s="1">
        <f t="shared" si="8"/>
        <v>9706.0116297823188</v>
      </c>
      <c r="F52" s="1">
        <f t="shared" si="9"/>
        <v>9706</v>
      </c>
      <c r="G52" s="1">
        <f t="shared" si="7"/>
        <v>2.1056000005046371E-2</v>
      </c>
      <c r="I52" s="1">
        <f>+G52</f>
        <v>2.1056000005046371E-2</v>
      </c>
      <c r="O52" s="1">
        <f t="shared" ca="1" si="4"/>
        <v>2.1165575098860662E-2</v>
      </c>
      <c r="Q52" s="6">
        <f t="shared" si="10"/>
        <v>34770.834000000003</v>
      </c>
      <c r="AB52" s="1" t="s">
        <v>54</v>
      </c>
      <c r="AC52" s="1">
        <v>10</v>
      </c>
      <c r="AE52" s="1" t="s">
        <v>57</v>
      </c>
      <c r="AG52" s="1" t="s">
        <v>58</v>
      </c>
    </row>
    <row r="53" spans="1:33" x14ac:dyDescent="0.2">
      <c r="A53" s="1" t="s">
        <v>72</v>
      </c>
      <c r="C53" s="5">
        <v>50486.381999999998</v>
      </c>
      <c r="D53" s="5">
        <v>5.0000000000000001E-3</v>
      </c>
      <c r="E53" s="1">
        <f t="shared" si="8"/>
        <v>10091.009564082</v>
      </c>
      <c r="F53" s="1">
        <f t="shared" si="9"/>
        <v>10091</v>
      </c>
      <c r="G53" s="1">
        <f t="shared" si="7"/>
        <v>1.7315999997663312E-2</v>
      </c>
      <c r="I53" s="1">
        <f>+G53</f>
        <v>1.7315999997663312E-2</v>
      </c>
      <c r="O53" s="1">
        <f t="shared" ref="O53:O78" ca="1" si="11">+C$11+C$12*$F53</f>
        <v>2.2635673849562041E-2</v>
      </c>
      <c r="Q53" s="6">
        <f t="shared" si="10"/>
        <v>35467.881999999998</v>
      </c>
      <c r="AB53" s="1" t="s">
        <v>54</v>
      </c>
      <c r="AC53" s="1">
        <v>9</v>
      </c>
      <c r="AE53" s="1" t="s">
        <v>57</v>
      </c>
      <c r="AG53" s="1" t="s">
        <v>58</v>
      </c>
    </row>
    <row r="54" spans="1:33" x14ac:dyDescent="0.2">
      <c r="A54" s="1" t="s">
        <v>73</v>
      </c>
      <c r="C54" s="5">
        <v>50859.348599999998</v>
      </c>
      <c r="D54" s="5">
        <v>1.2999999999999999E-3</v>
      </c>
      <c r="E54" s="1">
        <f t="shared" si="8"/>
        <v>10297.008821755469</v>
      </c>
      <c r="F54" s="1">
        <f t="shared" si="9"/>
        <v>10297</v>
      </c>
      <c r="G54" s="1">
        <f t="shared" si="7"/>
        <v>1.5971999993780628E-2</v>
      </c>
      <c r="J54" s="1">
        <f>+G54</f>
        <v>1.5971999993780628E-2</v>
      </c>
      <c r="O54" s="1">
        <f t="shared" ca="1" si="11"/>
        <v>2.3422272142145116E-2</v>
      </c>
      <c r="Q54" s="6">
        <f t="shared" si="10"/>
        <v>35840.848599999998</v>
      </c>
      <c r="AB54" s="1" t="s">
        <v>74</v>
      </c>
      <c r="AC54" s="1">
        <v>16</v>
      </c>
      <c r="AE54" s="1" t="s">
        <v>75</v>
      </c>
      <c r="AG54" s="1" t="s">
        <v>58</v>
      </c>
    </row>
    <row r="55" spans="1:33" x14ac:dyDescent="0.2">
      <c r="A55" s="1" t="s">
        <v>73</v>
      </c>
      <c r="C55" s="5">
        <v>50859.362000000001</v>
      </c>
      <c r="D55" s="5">
        <v>8.0000000000000002E-3</v>
      </c>
      <c r="E55" s="1">
        <f t="shared" si="8"/>
        <v>10297.016222927728</v>
      </c>
      <c r="F55" s="1">
        <f t="shared" si="9"/>
        <v>10297</v>
      </c>
      <c r="G55" s="1">
        <f t="shared" si="7"/>
        <v>2.9371999997238163E-2</v>
      </c>
      <c r="I55" s="1">
        <f>+G55</f>
        <v>2.9371999997238163E-2</v>
      </c>
      <c r="O55" s="1">
        <f t="shared" ca="1" si="11"/>
        <v>2.3422272142145116E-2</v>
      </c>
      <c r="Q55" s="6">
        <f t="shared" si="10"/>
        <v>35840.862000000001</v>
      </c>
      <c r="AB55" s="1" t="s">
        <v>54</v>
      </c>
      <c r="AC55" s="1">
        <v>11</v>
      </c>
      <c r="AE55" s="1" t="s">
        <v>57</v>
      </c>
      <c r="AG55" s="1" t="s">
        <v>58</v>
      </c>
    </row>
    <row r="56" spans="1:33" x14ac:dyDescent="0.2">
      <c r="A56" s="14" t="s">
        <v>76</v>
      </c>
      <c r="B56" s="15" t="s">
        <v>46</v>
      </c>
      <c r="C56" s="5">
        <v>52682.55</v>
      </c>
      <c r="D56" s="13">
        <v>1E-3</v>
      </c>
      <c r="E56" s="1">
        <f t="shared" si="8"/>
        <v>11304.010883037179</v>
      </c>
      <c r="F56" s="1">
        <f t="shared" si="9"/>
        <v>11304</v>
      </c>
      <c r="G56" s="1">
        <f t="shared" si="7"/>
        <v>1.9704000005731359E-2</v>
      </c>
      <c r="K56" s="1">
        <f t="shared" ref="K56:K64" si="12">+G56</f>
        <v>1.9704000005731359E-2</v>
      </c>
      <c r="O56" s="1">
        <f t="shared" ca="1" si="11"/>
        <v>2.7267439523849767E-2</v>
      </c>
      <c r="Q56" s="6">
        <f t="shared" si="10"/>
        <v>37664.050000000003</v>
      </c>
    </row>
    <row r="57" spans="1:33" x14ac:dyDescent="0.2">
      <c r="A57" s="16" t="s">
        <v>77</v>
      </c>
      <c r="B57" s="17" t="s">
        <v>46</v>
      </c>
      <c r="C57" s="10">
        <v>53028.363100000002</v>
      </c>
      <c r="D57" s="18">
        <v>5.1000000000000004E-3</v>
      </c>
      <c r="E57" s="1">
        <f t="shared" si="8"/>
        <v>11495.012548853263</v>
      </c>
      <c r="F57" s="1">
        <f t="shared" si="9"/>
        <v>11495</v>
      </c>
      <c r="G57" s="1">
        <f t="shared" si="7"/>
        <v>2.2720000008121133E-2</v>
      </c>
      <c r="K57" s="1">
        <f t="shared" si="12"/>
        <v>2.2720000008121133E-2</v>
      </c>
      <c r="O57" s="1">
        <f t="shared" ca="1" si="11"/>
        <v>2.7996761241730193E-2</v>
      </c>
      <c r="Q57" s="6">
        <f t="shared" si="10"/>
        <v>38009.863100000002</v>
      </c>
    </row>
    <row r="58" spans="1:33" x14ac:dyDescent="0.2">
      <c r="A58" s="19" t="s">
        <v>78</v>
      </c>
      <c r="B58" s="20"/>
      <c r="C58" s="10">
        <v>53417.630100000002</v>
      </c>
      <c r="D58" s="10">
        <v>1E-4</v>
      </c>
      <c r="E58" s="1">
        <f t="shared" si="8"/>
        <v>11710.014945949351</v>
      </c>
      <c r="F58" s="1">
        <f t="shared" si="9"/>
        <v>11710</v>
      </c>
      <c r="G58" s="1">
        <f t="shared" si="7"/>
        <v>2.7060000000346918E-2</v>
      </c>
      <c r="K58" s="1">
        <f t="shared" si="12"/>
        <v>2.7060000000346918E-2</v>
      </c>
      <c r="O58" s="1">
        <f t="shared" ca="1" si="11"/>
        <v>2.8817725479134859E-2</v>
      </c>
      <c r="Q58" s="6">
        <f t="shared" si="10"/>
        <v>38399.130100000002</v>
      </c>
    </row>
    <row r="59" spans="1:33" x14ac:dyDescent="0.2">
      <c r="A59" s="10" t="s">
        <v>79</v>
      </c>
      <c r="B59" s="21" t="s">
        <v>46</v>
      </c>
      <c r="C59" s="10">
        <v>54860.623</v>
      </c>
      <c r="D59" s="10">
        <v>2.9999999999999997E-4</v>
      </c>
      <c r="E59" s="1">
        <f t="shared" si="8"/>
        <v>12507.01785781354</v>
      </c>
      <c r="F59" s="1">
        <f t="shared" si="9"/>
        <v>12507</v>
      </c>
      <c r="G59" s="1">
        <f t="shared" si="7"/>
        <v>3.2332000002497807E-2</v>
      </c>
      <c r="K59" s="1">
        <f t="shared" si="12"/>
        <v>3.2332000002497807E-2</v>
      </c>
      <c r="O59" s="1">
        <f t="shared" ca="1" si="11"/>
        <v>3.1861020815002396E-2</v>
      </c>
      <c r="Q59" s="6">
        <f t="shared" si="10"/>
        <v>39842.123</v>
      </c>
    </row>
    <row r="60" spans="1:33" x14ac:dyDescent="0.2">
      <c r="A60" s="14" t="s">
        <v>80</v>
      </c>
      <c r="B60" s="22" t="s">
        <v>46</v>
      </c>
      <c r="C60" s="14">
        <v>55144.875399999997</v>
      </c>
      <c r="D60" s="14">
        <v>5.9999999999999995E-4</v>
      </c>
      <c r="E60" s="1">
        <f t="shared" si="8"/>
        <v>12664.017930720609</v>
      </c>
      <c r="F60" s="1">
        <f t="shared" si="9"/>
        <v>12664</v>
      </c>
      <c r="G60" s="1">
        <f t="shared" si="7"/>
        <v>3.2463999996252824E-2</v>
      </c>
      <c r="K60" s="1">
        <f t="shared" si="12"/>
        <v>3.2463999996252824E-2</v>
      </c>
      <c r="O60" s="1">
        <f t="shared" ca="1" si="11"/>
        <v>3.246051563022348E-2</v>
      </c>
      <c r="Q60" s="6">
        <f t="shared" si="10"/>
        <v>40126.375399999997</v>
      </c>
    </row>
    <row r="61" spans="1:33" x14ac:dyDescent="0.2">
      <c r="A61" s="14" t="s">
        <v>81</v>
      </c>
      <c r="B61" s="22" t="s">
        <v>46</v>
      </c>
      <c r="C61" s="14">
        <v>54154.5213</v>
      </c>
      <c r="D61" s="14">
        <v>1E-3</v>
      </c>
      <c r="E61" s="1">
        <f t="shared" si="8"/>
        <v>12117.019327001466</v>
      </c>
      <c r="F61" s="1">
        <f t="shared" si="9"/>
        <v>12117</v>
      </c>
      <c r="G61" s="1">
        <f t="shared" si="7"/>
        <v>3.4992000000784174E-2</v>
      </c>
      <c r="K61" s="1">
        <f t="shared" si="12"/>
        <v>3.4992000000784174E-2</v>
      </c>
      <c r="O61" s="1">
        <f t="shared" ca="1" si="11"/>
        <v>3.0371829872733465E-2</v>
      </c>
      <c r="Q61" s="6">
        <f t="shared" si="10"/>
        <v>39136.0213</v>
      </c>
    </row>
    <row r="62" spans="1:33" x14ac:dyDescent="0.2">
      <c r="A62" s="14" t="s">
        <v>81</v>
      </c>
      <c r="B62" s="22" t="s">
        <v>46</v>
      </c>
      <c r="C62" s="14">
        <v>54330.137600000002</v>
      </c>
      <c r="D62" s="14">
        <v>5.0000000000000001E-4</v>
      </c>
      <c r="E62" s="1">
        <f t="shared" si="8"/>
        <v>12214.016826068035</v>
      </c>
      <c r="F62" s="1">
        <f t="shared" si="9"/>
        <v>12214</v>
      </c>
      <c r="G62" s="1">
        <f t="shared" si="7"/>
        <v>3.0464000003121328E-2</v>
      </c>
      <c r="K62" s="1">
        <f t="shared" si="12"/>
        <v>3.0464000003121328E-2</v>
      </c>
      <c r="O62" s="1">
        <f t="shared" ca="1" si="11"/>
        <v>3.0742218389143941E-2</v>
      </c>
      <c r="Q62" s="6">
        <f t="shared" si="10"/>
        <v>39311.637600000002</v>
      </c>
    </row>
    <row r="63" spans="1:33" x14ac:dyDescent="0.2">
      <c r="A63" s="14" t="s">
        <v>81</v>
      </c>
      <c r="B63" s="22" t="s">
        <v>46</v>
      </c>
      <c r="C63" s="14">
        <v>54507.572800000002</v>
      </c>
      <c r="D63" s="14">
        <v>5.0000000000000001E-4</v>
      </c>
      <c r="E63" s="1">
        <f t="shared" si="8"/>
        <v>12312.01895141959</v>
      </c>
      <c r="F63" s="1">
        <f t="shared" si="9"/>
        <v>12312</v>
      </c>
      <c r="G63" s="1">
        <f t="shared" si="7"/>
        <v>3.4312000003410503E-2</v>
      </c>
      <c r="K63" s="1">
        <f t="shared" si="12"/>
        <v>3.4312000003410503E-2</v>
      </c>
      <c r="O63" s="1">
        <f t="shared" ca="1" si="11"/>
        <v>3.111642534386793E-2</v>
      </c>
      <c r="Q63" s="6">
        <f t="shared" si="10"/>
        <v>39489.072800000002</v>
      </c>
    </row>
    <row r="64" spans="1:33" x14ac:dyDescent="0.2">
      <c r="A64" s="23" t="s">
        <v>82</v>
      </c>
      <c r="B64" s="21" t="s">
        <v>46</v>
      </c>
      <c r="C64" s="10">
        <v>55517.846299999997</v>
      </c>
      <c r="D64" s="10">
        <v>1.2999999999999999E-3</v>
      </c>
      <c r="E64" s="1">
        <f t="shared" si="8"/>
        <v>12870.019563397116</v>
      </c>
      <c r="F64" s="1">
        <f t="shared" si="9"/>
        <v>12870</v>
      </c>
      <c r="G64" s="1">
        <f t="shared" si="7"/>
        <v>3.5420000000158325E-2</v>
      </c>
      <c r="K64" s="1">
        <f t="shared" si="12"/>
        <v>3.5420000000158325E-2</v>
      </c>
      <c r="O64" s="1">
        <f t="shared" ca="1" si="11"/>
        <v>3.3247113922806555E-2</v>
      </c>
      <c r="Q64" s="6">
        <f t="shared" si="10"/>
        <v>40499.346299999997</v>
      </c>
    </row>
    <row r="65" spans="1:33" x14ac:dyDescent="0.2">
      <c r="A65" s="1" t="s">
        <v>83</v>
      </c>
      <c r="C65" s="5">
        <v>48916.657599999999</v>
      </c>
      <c r="D65" s="5"/>
      <c r="E65" s="1">
        <f t="shared" si="8"/>
        <v>9224.0095132679817</v>
      </c>
      <c r="F65" s="1">
        <f t="shared" si="9"/>
        <v>9224</v>
      </c>
      <c r="G65" s="1">
        <f t="shared" si="7"/>
        <v>1.722400000289781E-2</v>
      </c>
      <c r="J65" s="1">
        <f>+G65</f>
        <v>1.722400000289781E-2</v>
      </c>
      <c r="O65" s="1">
        <f t="shared" ca="1" si="11"/>
        <v>1.93250878317488E-2</v>
      </c>
      <c r="Q65" s="6">
        <f t="shared" si="10"/>
        <v>33898.157599999999</v>
      </c>
      <c r="AB65" s="1" t="s">
        <v>67</v>
      </c>
      <c r="AG65" s="1" t="s">
        <v>55</v>
      </c>
    </row>
    <row r="66" spans="1:33" x14ac:dyDescent="0.2">
      <c r="A66" s="10" t="s">
        <v>84</v>
      </c>
      <c r="B66" s="21" t="s">
        <v>46</v>
      </c>
      <c r="C66" s="10">
        <v>54500.328699999998</v>
      </c>
      <c r="D66" s="10">
        <v>1E-4</v>
      </c>
      <c r="E66" s="1">
        <f t="shared" si="8"/>
        <v>12308.017844557708</v>
      </c>
      <c r="F66" s="1">
        <f t="shared" si="9"/>
        <v>12308</v>
      </c>
      <c r="G66" s="1">
        <f t="shared" si="7"/>
        <v>3.2307999994372949E-2</v>
      </c>
      <c r="J66" s="1">
        <f>+G66</f>
        <v>3.2307999994372949E-2</v>
      </c>
      <c r="O66" s="1">
        <f t="shared" ca="1" si="11"/>
        <v>3.1101151590613892E-2</v>
      </c>
      <c r="Q66" s="6">
        <f t="shared" si="10"/>
        <v>39481.828699999998</v>
      </c>
    </row>
    <row r="67" spans="1:33" x14ac:dyDescent="0.2">
      <c r="A67" s="14" t="s">
        <v>85</v>
      </c>
      <c r="B67" s="22" t="s">
        <v>46</v>
      </c>
      <c r="C67" s="14">
        <v>54843.429799999998</v>
      </c>
      <c r="D67" s="64">
        <v>2.2000000000000001E-3</v>
      </c>
      <c r="E67" s="1">
        <f t="shared" si="8"/>
        <v>12497.521601481118</v>
      </c>
      <c r="F67" s="1">
        <f t="shared" si="9"/>
        <v>12497.5</v>
      </c>
      <c r="G67" s="1">
        <f t="shared" si="7"/>
        <v>3.9109999997890554E-2</v>
      </c>
      <c r="J67" s="1">
        <f>+G67</f>
        <v>3.9109999997890554E-2</v>
      </c>
      <c r="O67" s="1">
        <f t="shared" ca="1" si="11"/>
        <v>3.1824745651024049E-2</v>
      </c>
      <c r="Q67" s="6">
        <f t="shared" si="10"/>
        <v>39824.929799999998</v>
      </c>
    </row>
    <row r="68" spans="1:33" x14ac:dyDescent="0.2">
      <c r="A68" s="23" t="s">
        <v>86</v>
      </c>
      <c r="B68" s="23"/>
      <c r="C68" s="10">
        <v>55472.570599999999</v>
      </c>
      <c r="D68" s="10">
        <v>2.2000000000000001E-3</v>
      </c>
      <c r="E68" s="1">
        <f t="shared" si="8"/>
        <v>12845.012604085889</v>
      </c>
      <c r="F68" s="1">
        <f t="shared" si="9"/>
        <v>12845</v>
      </c>
      <c r="G68" s="1">
        <f t="shared" si="7"/>
        <v>2.282000000559492E-2</v>
      </c>
      <c r="J68" s="1">
        <f>+G68</f>
        <v>2.282000000559492E-2</v>
      </c>
      <c r="O68" s="1">
        <f t="shared" ca="1" si="11"/>
        <v>3.3151652964968803E-2</v>
      </c>
      <c r="Q68" s="6">
        <f t="shared" si="10"/>
        <v>40454.070599999999</v>
      </c>
    </row>
    <row r="69" spans="1:33" x14ac:dyDescent="0.2">
      <c r="A69" s="23" t="s">
        <v>87</v>
      </c>
      <c r="B69" s="21" t="s">
        <v>46</v>
      </c>
      <c r="C69" s="10">
        <v>56694.694499999998</v>
      </c>
      <c r="D69" s="10">
        <v>1E-4</v>
      </c>
      <c r="E69" s="1">
        <f t="shared" si="8"/>
        <v>13520.023761076904</v>
      </c>
      <c r="F69" s="1">
        <f t="shared" si="9"/>
        <v>13520</v>
      </c>
      <c r="G69" s="1">
        <f t="shared" si="7"/>
        <v>4.3019999997341074E-2</v>
      </c>
      <c r="K69" s="1">
        <f t="shared" ref="K69:K77" si="13">+G69</f>
        <v>4.3019999997341074E-2</v>
      </c>
      <c r="O69" s="1">
        <f t="shared" ca="1" si="11"/>
        <v>3.5729098826588104E-2</v>
      </c>
      <c r="Q69" s="6">
        <f t="shared" si="10"/>
        <v>41676.194499999998</v>
      </c>
    </row>
    <row r="70" spans="1:33" x14ac:dyDescent="0.2">
      <c r="A70" s="24" t="s">
        <v>88</v>
      </c>
      <c r="B70" s="25" t="s">
        <v>46</v>
      </c>
      <c r="C70" s="26">
        <v>57067.664299999997</v>
      </c>
      <c r="D70" s="26">
        <v>1E-4</v>
      </c>
      <c r="E70" s="1">
        <f t="shared" si="8"/>
        <v>13726.024786194494</v>
      </c>
      <c r="F70" s="1">
        <f t="shared" si="9"/>
        <v>13726</v>
      </c>
      <c r="G70" s="1">
        <f t="shared" si="7"/>
        <v>4.4875999992655125E-2</v>
      </c>
      <c r="K70" s="1">
        <f t="shared" si="13"/>
        <v>4.4875999992655125E-2</v>
      </c>
      <c r="O70" s="1">
        <f t="shared" ca="1" si="11"/>
        <v>3.6515697119171187E-2</v>
      </c>
      <c r="Q70" s="6">
        <f t="shared" si="10"/>
        <v>42049.164299999997</v>
      </c>
    </row>
    <row r="71" spans="1:33" x14ac:dyDescent="0.2">
      <c r="A71" s="14" t="s">
        <v>89</v>
      </c>
      <c r="B71" s="22" t="s">
        <v>46</v>
      </c>
      <c r="C71" s="14">
        <v>53763.442840000003</v>
      </c>
      <c r="D71" s="14" t="s">
        <v>36</v>
      </c>
      <c r="E71" s="1">
        <f t="shared" si="8"/>
        <v>11901.016412927973</v>
      </c>
      <c r="F71" s="1">
        <f t="shared" si="9"/>
        <v>11901</v>
      </c>
      <c r="G71" s="1">
        <f t="shared" si="7"/>
        <v>2.9716000004555099E-2</v>
      </c>
      <c r="K71" s="1">
        <f t="shared" si="13"/>
        <v>2.9716000004555099E-2</v>
      </c>
      <c r="O71" s="1">
        <f t="shared" ca="1" si="11"/>
        <v>2.9547047197015286E-2</v>
      </c>
      <c r="Q71" s="6">
        <f t="shared" si="10"/>
        <v>38744.942840000003</v>
      </c>
    </row>
    <row r="72" spans="1:33" x14ac:dyDescent="0.2">
      <c r="A72" s="23" t="s">
        <v>90</v>
      </c>
      <c r="B72" s="21" t="s">
        <v>46</v>
      </c>
      <c r="C72" s="10">
        <v>55628.289750000004</v>
      </c>
      <c r="D72" s="10">
        <v>5.0000000000000001E-4</v>
      </c>
      <c r="E72" s="1">
        <f t="shared" si="8"/>
        <v>12931.020384153982</v>
      </c>
      <c r="F72" s="1">
        <f t="shared" si="9"/>
        <v>12931</v>
      </c>
      <c r="G72" s="1">
        <f t="shared" si="7"/>
        <v>3.6906000001181383E-2</v>
      </c>
      <c r="K72" s="1">
        <f t="shared" si="13"/>
        <v>3.6906000001181383E-2</v>
      </c>
      <c r="O72" s="1">
        <f t="shared" ca="1" si="11"/>
        <v>3.3480038659930669E-2</v>
      </c>
      <c r="Q72" s="6">
        <f t="shared" si="10"/>
        <v>40609.789750000004</v>
      </c>
    </row>
    <row r="73" spans="1:33" x14ac:dyDescent="0.2">
      <c r="A73" s="23" t="s">
        <v>90</v>
      </c>
      <c r="B73" s="21" t="s">
        <v>46</v>
      </c>
      <c r="C73" s="10">
        <v>55628.291250000002</v>
      </c>
      <c r="D73" s="10">
        <v>8.0000000000000004E-4</v>
      </c>
      <c r="E73" s="1">
        <f t="shared" si="8"/>
        <v>12931.021212643413</v>
      </c>
      <c r="F73" s="1">
        <f t="shared" si="9"/>
        <v>12931</v>
      </c>
      <c r="G73" s="1">
        <f t="shared" si="7"/>
        <v>3.8405999999667984E-2</v>
      </c>
      <c r="K73" s="1">
        <f>+G73</f>
        <v>3.8405999999667984E-2</v>
      </c>
      <c r="O73" s="1">
        <f t="shared" ca="1" si="11"/>
        <v>3.3480038659930669E-2</v>
      </c>
      <c r="Q73" s="6">
        <f t="shared" si="10"/>
        <v>40609.791250000002</v>
      </c>
    </row>
    <row r="74" spans="1:33" x14ac:dyDescent="0.2">
      <c r="A74" s="7" t="s">
        <v>91</v>
      </c>
      <c r="B74" s="8" t="s">
        <v>46</v>
      </c>
      <c r="C74" s="9">
        <v>51158.082999999999</v>
      </c>
      <c r="D74" s="5"/>
      <c r="E74" s="1">
        <f t="shared" si="8"/>
        <v>10462.007683963317</v>
      </c>
      <c r="F74" s="1">
        <f t="shared" si="9"/>
        <v>10462</v>
      </c>
      <c r="G74" s="1">
        <f t="shared" si="7"/>
        <v>1.3911999994888902E-2</v>
      </c>
      <c r="K74" s="1">
        <f t="shared" si="13"/>
        <v>1.3911999994888902E-2</v>
      </c>
      <c r="O74" s="1">
        <f t="shared" ca="1" si="11"/>
        <v>2.4052314463874278E-2</v>
      </c>
      <c r="Q74" s="6">
        <f t="shared" si="10"/>
        <v>36139.582999999999</v>
      </c>
    </row>
    <row r="75" spans="1:33" x14ac:dyDescent="0.2">
      <c r="A75" s="7" t="s">
        <v>92</v>
      </c>
      <c r="B75" s="8" t="s">
        <v>46</v>
      </c>
      <c r="C75" s="9">
        <v>54503.946799999998</v>
      </c>
      <c r="D75" s="5"/>
      <c r="E75" s="1">
        <f t="shared" si="8"/>
        <v>12310.016216299811</v>
      </c>
      <c r="F75" s="1">
        <f t="shared" si="9"/>
        <v>12310</v>
      </c>
      <c r="G75" s="1">
        <f t="shared" si="7"/>
        <v>2.9360000000451691E-2</v>
      </c>
      <c r="K75" s="1">
        <f t="shared" si="13"/>
        <v>2.9360000000451691E-2</v>
      </c>
      <c r="O75" s="1">
        <f t="shared" ca="1" si="11"/>
        <v>3.1108788467240911E-2</v>
      </c>
      <c r="Q75" s="6">
        <f t="shared" si="10"/>
        <v>39485.446799999998</v>
      </c>
    </row>
    <row r="76" spans="1:33" x14ac:dyDescent="0.2">
      <c r="A76" s="7" t="s">
        <v>93</v>
      </c>
      <c r="B76" s="8" t="s">
        <v>46</v>
      </c>
      <c r="C76" s="9">
        <v>56299.9712</v>
      </c>
      <c r="D76" s="5"/>
      <c r="E76" s="1">
        <f t="shared" si="8"/>
        <v>13302.007706056369</v>
      </c>
      <c r="F76" s="1">
        <f t="shared" si="9"/>
        <v>13302</v>
      </c>
      <c r="G76" s="1">
        <f t="shared" si="7"/>
        <v>1.3952000001154374E-2</v>
      </c>
      <c r="K76" s="1">
        <f t="shared" si="13"/>
        <v>1.3952000001154374E-2</v>
      </c>
      <c r="O76" s="1">
        <f t="shared" ca="1" si="11"/>
        <v>3.4896679274242913E-2</v>
      </c>
      <c r="Q76" s="6">
        <f t="shared" si="10"/>
        <v>41281.4712</v>
      </c>
    </row>
    <row r="77" spans="1:33" x14ac:dyDescent="0.2">
      <c r="A77" s="7" t="s">
        <v>93</v>
      </c>
      <c r="B77" s="8" t="s">
        <v>46</v>
      </c>
      <c r="C77" s="9">
        <v>56299.987500000003</v>
      </c>
      <c r="D77" s="5"/>
      <c r="E77" s="1">
        <f t="shared" si="8"/>
        <v>13302.016708974863</v>
      </c>
      <c r="F77" s="1">
        <f t="shared" si="9"/>
        <v>13302</v>
      </c>
      <c r="G77" s="1">
        <f t="shared" si="7"/>
        <v>3.0252000004111324E-2</v>
      </c>
      <c r="K77" s="1">
        <f t="shared" si="13"/>
        <v>3.0252000004111324E-2</v>
      </c>
      <c r="O77" s="1">
        <f t="shared" ca="1" si="11"/>
        <v>3.4896679274242913E-2</v>
      </c>
      <c r="Q77" s="6">
        <f t="shared" si="10"/>
        <v>41281.487500000003</v>
      </c>
    </row>
    <row r="78" spans="1:33" x14ac:dyDescent="0.2">
      <c r="A78" s="7" t="s">
        <v>93</v>
      </c>
      <c r="B78" s="8" t="s">
        <v>46</v>
      </c>
      <c r="C78" s="9">
        <v>56299.989500000003</v>
      </c>
      <c r="D78" s="5"/>
      <c r="E78" s="1">
        <f t="shared" si="8"/>
        <v>13302.017813627439</v>
      </c>
      <c r="F78" s="1">
        <f t="shared" si="9"/>
        <v>13302</v>
      </c>
      <c r="G78" s="1">
        <f t="shared" si="7"/>
        <v>3.2252000004518777E-2</v>
      </c>
      <c r="K78" s="1">
        <f>+G78</f>
        <v>3.2252000004518777E-2</v>
      </c>
      <c r="O78" s="1">
        <f t="shared" ca="1" si="11"/>
        <v>3.4896679274242913E-2</v>
      </c>
      <c r="Q78" s="6">
        <f t="shared" si="10"/>
        <v>41281.489500000003</v>
      </c>
    </row>
    <row r="79" spans="1:33" x14ac:dyDescent="0.2">
      <c r="A79" s="27" t="s">
        <v>94</v>
      </c>
      <c r="B79" s="28" t="s">
        <v>46</v>
      </c>
      <c r="C79" s="29">
        <v>58179.329020000063</v>
      </c>
      <c r="D79" s="29">
        <v>2.0000000000000001E-4</v>
      </c>
      <c r="E79" s="1">
        <f>+(C79-C$7)/C$8</f>
        <v>14340.026434336172</v>
      </c>
      <c r="F79" s="1">
        <f t="shared" si="9"/>
        <v>14340</v>
      </c>
      <c r="G79" s="1">
        <f>+C79-(C$7+F79*C$8)</f>
        <v>4.7860000064247288E-2</v>
      </c>
      <c r="K79" s="1">
        <f>+G79</f>
        <v>4.7860000064247288E-2</v>
      </c>
      <c r="O79" s="1">
        <f ca="1">+C$11+C$12*$F79</f>
        <v>3.8860218243666374E-2</v>
      </c>
      <c r="Q79" s="6">
        <f>+C79-15018.5</f>
        <v>43160.829020000063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28" workbookViewId="0">
      <selection activeCell="A49" sqref="A49"/>
    </sheetView>
  </sheetViews>
  <sheetFormatPr defaultRowHeight="12.75" x14ac:dyDescent="0.2"/>
  <cols>
    <col min="1" max="1" width="19.7109375" style="30" customWidth="1"/>
    <col min="2" max="2" width="4.42578125" customWidth="1"/>
    <col min="3" max="3" width="12.7109375" style="30" customWidth="1"/>
    <col min="4" max="4" width="5.42578125" customWidth="1"/>
    <col min="5" max="5" width="14.85546875" customWidth="1"/>
    <col min="7" max="7" width="12" customWidth="1"/>
    <col min="8" max="8" width="14.140625" style="3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1" t="s">
        <v>95</v>
      </c>
      <c r="I1" s="32" t="s">
        <v>96</v>
      </c>
      <c r="J1" s="33" t="s">
        <v>36</v>
      </c>
    </row>
    <row r="2" spans="1:16" x14ac:dyDescent="0.2">
      <c r="I2" s="34" t="s">
        <v>97</v>
      </c>
      <c r="J2" s="35" t="s">
        <v>35</v>
      </c>
    </row>
    <row r="3" spans="1:16" x14ac:dyDescent="0.2">
      <c r="A3" s="36" t="s">
        <v>98</v>
      </c>
      <c r="I3" s="34" t="s">
        <v>99</v>
      </c>
      <c r="J3" s="35" t="s">
        <v>33</v>
      </c>
    </row>
    <row r="4" spans="1:16" x14ac:dyDescent="0.2">
      <c r="I4" s="34" t="s">
        <v>100</v>
      </c>
      <c r="J4" s="35" t="s">
        <v>33</v>
      </c>
    </row>
    <row r="5" spans="1:16" x14ac:dyDescent="0.2">
      <c r="I5" s="37" t="s">
        <v>101</v>
      </c>
      <c r="J5" s="38" t="s">
        <v>34</v>
      </c>
    </row>
    <row r="11" spans="1:16" ht="12.75" customHeight="1" x14ac:dyDescent="0.2">
      <c r="A11" s="30" t="str">
        <f t="shared" ref="A11:A42" si="0">P11</f>
        <v> SAC 9.93 </v>
      </c>
      <c r="B11" s="4" t="str">
        <f t="shared" ref="B11:B42" si="1">IF(H11=INT(H11),"I","II")</f>
        <v>I</v>
      </c>
      <c r="C11" s="30">
        <f t="shared" ref="C11:C42" si="2">1*G11</f>
        <v>25890.400000000001</v>
      </c>
      <c r="D11" t="str">
        <f t="shared" ref="D11:D42" si="3">VLOOKUP(F11,I$1:J$5,2,FALSE)</f>
        <v>vis</v>
      </c>
      <c r="E11">
        <f>VLOOKUP(C11,Active!C$21:E$971,3,FALSE)</f>
        <v>-3493.9978702298322</v>
      </c>
      <c r="F11" s="4" t="s">
        <v>101</v>
      </c>
      <c r="G11" t="str">
        <f t="shared" ref="G11:G42" si="4">MID(I11,3,LEN(I11)-3)</f>
        <v>25890.40</v>
      </c>
      <c r="H11" s="30">
        <f t="shared" ref="H11:H42" si="5">1*K11</f>
        <v>-3494</v>
      </c>
      <c r="I11" s="39" t="s">
        <v>102</v>
      </c>
      <c r="J11" s="40" t="s">
        <v>103</v>
      </c>
      <c r="K11" s="39">
        <v>-3494</v>
      </c>
      <c r="L11" s="39" t="s">
        <v>104</v>
      </c>
      <c r="M11" s="40" t="s">
        <v>105</v>
      </c>
      <c r="N11" s="40"/>
      <c r="O11" s="41" t="s">
        <v>106</v>
      </c>
      <c r="P11" s="41" t="s">
        <v>107</v>
      </c>
    </row>
    <row r="12" spans="1:16" ht="12.75" customHeight="1" x14ac:dyDescent="0.2">
      <c r="A12" s="30" t="str">
        <f t="shared" si="0"/>
        <v> AJ 53.14 </v>
      </c>
      <c r="B12" s="4" t="str">
        <f t="shared" si="1"/>
        <v>I</v>
      </c>
      <c r="C12" s="30">
        <f t="shared" si="2"/>
        <v>30693.726999999999</v>
      </c>
      <c r="D12" t="str">
        <f t="shared" si="3"/>
        <v>vis</v>
      </c>
      <c r="E12">
        <f>VLOOKUP(C12,Active!C$21:E$971,3,FALSE)</f>
        <v>-840.99409894594021</v>
      </c>
      <c r="F12" s="4" t="s">
        <v>101</v>
      </c>
      <c r="G12" t="str">
        <f t="shared" si="4"/>
        <v>30693.727</v>
      </c>
      <c r="H12" s="30">
        <f t="shared" si="5"/>
        <v>-841</v>
      </c>
      <c r="I12" s="39" t="s">
        <v>108</v>
      </c>
      <c r="J12" s="40" t="s">
        <v>109</v>
      </c>
      <c r="K12" s="39">
        <v>-841</v>
      </c>
      <c r="L12" s="39" t="s">
        <v>110</v>
      </c>
      <c r="M12" s="40" t="s">
        <v>111</v>
      </c>
      <c r="N12" s="40"/>
      <c r="O12" s="41" t="s">
        <v>112</v>
      </c>
      <c r="P12" s="41" t="s">
        <v>113</v>
      </c>
    </row>
    <row r="13" spans="1:16" ht="12.75" customHeight="1" x14ac:dyDescent="0.2">
      <c r="A13" s="30" t="str">
        <f t="shared" si="0"/>
        <v> AJ 53.14 </v>
      </c>
      <c r="B13" s="4" t="str">
        <f t="shared" si="1"/>
        <v>I</v>
      </c>
      <c r="C13" s="30">
        <f t="shared" si="2"/>
        <v>31497.599999999999</v>
      </c>
      <c r="D13" t="str">
        <f t="shared" si="3"/>
        <v>vis</v>
      </c>
      <c r="E13">
        <f>VLOOKUP(C13,Active!C$21:E$971,3,FALSE)</f>
        <v>-396.9939089456974</v>
      </c>
      <c r="F13" s="4" t="s">
        <v>101</v>
      </c>
      <c r="G13" t="str">
        <f t="shared" si="4"/>
        <v>31497.600</v>
      </c>
      <c r="H13" s="30">
        <f t="shared" si="5"/>
        <v>-397</v>
      </c>
      <c r="I13" s="39" t="s">
        <v>114</v>
      </c>
      <c r="J13" s="40" t="s">
        <v>115</v>
      </c>
      <c r="K13" s="39">
        <v>-397</v>
      </c>
      <c r="L13" s="39" t="s">
        <v>110</v>
      </c>
      <c r="M13" s="40" t="s">
        <v>111</v>
      </c>
      <c r="N13" s="40"/>
      <c r="O13" s="41" t="s">
        <v>112</v>
      </c>
      <c r="P13" s="41" t="s">
        <v>113</v>
      </c>
    </row>
    <row r="14" spans="1:16" ht="12.75" customHeight="1" x14ac:dyDescent="0.2">
      <c r="A14" s="30" t="str">
        <f t="shared" si="0"/>
        <v> AJ 53.14 </v>
      </c>
      <c r="B14" s="4" t="str">
        <f t="shared" si="1"/>
        <v>I</v>
      </c>
      <c r="C14" s="30">
        <f t="shared" si="2"/>
        <v>31772.793000000001</v>
      </c>
      <c r="D14" t="str">
        <f t="shared" si="3"/>
        <v>vis</v>
      </c>
      <c r="E14">
        <f>VLOOKUP(C14,Active!C$21:E$971,3,FALSE)</f>
        <v>-244.99758081085744</v>
      </c>
      <c r="F14" s="4" t="s">
        <v>101</v>
      </c>
      <c r="G14" t="str">
        <f t="shared" si="4"/>
        <v>31772.793</v>
      </c>
      <c r="H14" s="30">
        <f t="shared" si="5"/>
        <v>-245</v>
      </c>
      <c r="I14" s="39" t="s">
        <v>116</v>
      </c>
      <c r="J14" s="40" t="s">
        <v>117</v>
      </c>
      <c r="K14" s="39">
        <v>-245</v>
      </c>
      <c r="L14" s="39" t="s">
        <v>118</v>
      </c>
      <c r="M14" s="40" t="s">
        <v>111</v>
      </c>
      <c r="N14" s="40"/>
      <c r="O14" s="41" t="s">
        <v>112</v>
      </c>
      <c r="P14" s="41" t="s">
        <v>113</v>
      </c>
    </row>
    <row r="15" spans="1:16" ht="12.75" customHeight="1" x14ac:dyDescent="0.2">
      <c r="A15" s="30" t="str">
        <f t="shared" si="0"/>
        <v> SAC 19.75 </v>
      </c>
      <c r="B15" s="4" t="str">
        <f t="shared" si="1"/>
        <v>I</v>
      </c>
      <c r="C15" s="30">
        <f t="shared" si="2"/>
        <v>32216.366999999998</v>
      </c>
      <c r="D15" t="str">
        <f t="shared" si="3"/>
        <v>vis</v>
      </c>
      <c r="E15">
        <f>VLOOKUP(C15,Active!C$21:E$971,3,FALSE)</f>
        <v>0</v>
      </c>
      <c r="F15" s="4" t="s">
        <v>101</v>
      </c>
      <c r="G15" t="str">
        <f t="shared" si="4"/>
        <v>32216.367</v>
      </c>
      <c r="H15" s="30">
        <f t="shared" si="5"/>
        <v>0</v>
      </c>
      <c r="I15" s="39" t="s">
        <v>119</v>
      </c>
      <c r="J15" s="40" t="s">
        <v>120</v>
      </c>
      <c r="K15" s="39">
        <v>0</v>
      </c>
      <c r="L15" s="39" t="s">
        <v>121</v>
      </c>
      <c r="M15" s="40" t="s">
        <v>105</v>
      </c>
      <c r="N15" s="40"/>
      <c r="O15" s="41" t="s">
        <v>106</v>
      </c>
      <c r="P15" s="41" t="s">
        <v>122</v>
      </c>
    </row>
    <row r="16" spans="1:16" ht="12.75" customHeight="1" x14ac:dyDescent="0.2">
      <c r="A16" s="30" t="str">
        <f t="shared" si="0"/>
        <v>IBVS 46 </v>
      </c>
      <c r="B16" s="4" t="str">
        <f t="shared" si="1"/>
        <v>I</v>
      </c>
      <c r="C16" s="30">
        <f t="shared" si="2"/>
        <v>38446.39</v>
      </c>
      <c r="D16" t="str">
        <f t="shared" si="3"/>
        <v>vis</v>
      </c>
      <c r="E16">
        <f>VLOOKUP(C16,Active!C$21:E$971,3,FALSE)</f>
        <v>3441.0054768674709</v>
      </c>
      <c r="F16" s="4" t="s">
        <v>101</v>
      </c>
      <c r="G16" t="str">
        <f t="shared" si="4"/>
        <v>38446.39</v>
      </c>
      <c r="H16" s="30">
        <f t="shared" si="5"/>
        <v>3441</v>
      </c>
      <c r="I16" s="39" t="s">
        <v>123</v>
      </c>
      <c r="J16" s="40" t="s">
        <v>124</v>
      </c>
      <c r="K16" s="39">
        <v>3441</v>
      </c>
      <c r="L16" s="39" t="s">
        <v>125</v>
      </c>
      <c r="M16" s="40" t="s">
        <v>105</v>
      </c>
      <c r="N16" s="40"/>
      <c r="O16" s="41" t="s">
        <v>106</v>
      </c>
      <c r="P16" s="42" t="s">
        <v>126</v>
      </c>
    </row>
    <row r="17" spans="1:16" ht="12.75" customHeight="1" x14ac:dyDescent="0.2">
      <c r="A17" s="30" t="str">
        <f t="shared" si="0"/>
        <v> AN 301.327 </v>
      </c>
      <c r="B17" s="4" t="str">
        <f t="shared" si="1"/>
        <v>I</v>
      </c>
      <c r="C17" s="30">
        <f t="shared" si="2"/>
        <v>42833.288999999997</v>
      </c>
      <c r="D17" t="str">
        <f t="shared" si="3"/>
        <v>vis</v>
      </c>
      <c r="E17">
        <f>VLOOKUP(C17,Active!C$21:E$971,3,FALSE)</f>
        <v>5864.0051167507299</v>
      </c>
      <c r="F17" s="4" t="s">
        <v>101</v>
      </c>
      <c r="G17" t="str">
        <f t="shared" si="4"/>
        <v>42833.289</v>
      </c>
      <c r="H17" s="30">
        <f t="shared" si="5"/>
        <v>5864</v>
      </c>
      <c r="I17" s="39" t="s">
        <v>127</v>
      </c>
      <c r="J17" s="40" t="s">
        <v>128</v>
      </c>
      <c r="K17" s="39">
        <v>5864</v>
      </c>
      <c r="L17" s="39" t="s">
        <v>129</v>
      </c>
      <c r="M17" s="40" t="s">
        <v>105</v>
      </c>
      <c r="N17" s="40"/>
      <c r="O17" s="41" t="s">
        <v>130</v>
      </c>
      <c r="P17" s="41" t="s">
        <v>131</v>
      </c>
    </row>
    <row r="18" spans="1:16" ht="12.75" customHeight="1" x14ac:dyDescent="0.2">
      <c r="A18" s="30" t="str">
        <f t="shared" si="0"/>
        <v>BAVM 39 </v>
      </c>
      <c r="B18" s="4" t="str">
        <f t="shared" si="1"/>
        <v>I</v>
      </c>
      <c r="C18" s="30">
        <f t="shared" si="2"/>
        <v>46110.347000000002</v>
      </c>
      <c r="D18" t="str">
        <f t="shared" si="3"/>
        <v>vis</v>
      </c>
      <c r="E18">
        <f>VLOOKUP(C18,Active!C$21:E$971,3,FALSE)</f>
        <v>7674.0103969900447</v>
      </c>
      <c r="F18" s="4" t="s">
        <v>101</v>
      </c>
      <c r="G18" t="str">
        <f t="shared" si="4"/>
        <v>46110.347</v>
      </c>
      <c r="H18" s="30">
        <f t="shared" si="5"/>
        <v>7674</v>
      </c>
      <c r="I18" s="39" t="s">
        <v>132</v>
      </c>
      <c r="J18" s="40" t="s">
        <v>133</v>
      </c>
      <c r="K18" s="39">
        <v>7674</v>
      </c>
      <c r="L18" s="39" t="s">
        <v>134</v>
      </c>
      <c r="M18" s="40" t="s">
        <v>105</v>
      </c>
      <c r="N18" s="40"/>
      <c r="O18" s="41" t="s">
        <v>135</v>
      </c>
      <c r="P18" s="42" t="s">
        <v>136</v>
      </c>
    </row>
    <row r="19" spans="1:16" ht="12.75" customHeight="1" x14ac:dyDescent="0.2">
      <c r="A19" s="30" t="str">
        <f t="shared" si="0"/>
        <v> BBS 87 </v>
      </c>
      <c r="B19" s="4" t="str">
        <f t="shared" si="1"/>
        <v>I</v>
      </c>
      <c r="C19" s="30">
        <f t="shared" si="2"/>
        <v>47209.345000000001</v>
      </c>
      <c r="D19" t="str">
        <f t="shared" si="3"/>
        <v>vis</v>
      </c>
      <c r="E19">
        <f>VLOOKUP(C19,Active!C$21:E$971,3,FALSE)</f>
        <v>8281.0158826947354</v>
      </c>
      <c r="F19" s="4" t="s">
        <v>101</v>
      </c>
      <c r="G19" t="str">
        <f t="shared" si="4"/>
        <v>47209.345</v>
      </c>
      <c r="H19" s="30">
        <f t="shared" si="5"/>
        <v>8281</v>
      </c>
      <c r="I19" s="39" t="s">
        <v>137</v>
      </c>
      <c r="J19" s="40" t="s">
        <v>138</v>
      </c>
      <c r="K19" s="39">
        <v>8281</v>
      </c>
      <c r="L19" s="39" t="s">
        <v>139</v>
      </c>
      <c r="M19" s="40" t="s">
        <v>105</v>
      </c>
      <c r="N19" s="40"/>
      <c r="O19" s="41" t="s">
        <v>140</v>
      </c>
      <c r="P19" s="41" t="s">
        <v>141</v>
      </c>
    </row>
    <row r="20" spans="1:16" ht="12.75" customHeight="1" x14ac:dyDescent="0.2">
      <c r="A20" s="30" t="str">
        <f t="shared" si="0"/>
        <v> BBS 91 </v>
      </c>
      <c r="B20" s="4" t="str">
        <f t="shared" si="1"/>
        <v>I</v>
      </c>
      <c r="C20" s="30">
        <f t="shared" si="2"/>
        <v>47553.328000000001</v>
      </c>
      <c r="D20" t="str">
        <f t="shared" si="3"/>
        <v>vis</v>
      </c>
      <c r="E20">
        <f>VLOOKUP(C20,Active!C$21:E$971,3,FALSE)</f>
        <v>8471.0067361714082</v>
      </c>
      <c r="F20" s="4" t="s">
        <v>101</v>
      </c>
      <c r="G20" t="str">
        <f t="shared" si="4"/>
        <v>47553.328</v>
      </c>
      <c r="H20" s="30">
        <f t="shared" si="5"/>
        <v>8471</v>
      </c>
      <c r="I20" s="39" t="s">
        <v>142</v>
      </c>
      <c r="J20" s="40" t="s">
        <v>143</v>
      </c>
      <c r="K20" s="39">
        <v>8471</v>
      </c>
      <c r="L20" s="39" t="s">
        <v>144</v>
      </c>
      <c r="M20" s="40" t="s">
        <v>105</v>
      </c>
      <c r="N20" s="40"/>
      <c r="O20" s="41" t="s">
        <v>140</v>
      </c>
      <c r="P20" s="41" t="s">
        <v>145</v>
      </c>
    </row>
    <row r="21" spans="1:16" ht="12.75" customHeight="1" x14ac:dyDescent="0.2">
      <c r="A21" s="30" t="str">
        <f t="shared" si="0"/>
        <v>BAVM 52 </v>
      </c>
      <c r="B21" s="4" t="str">
        <f t="shared" si="1"/>
        <v>I</v>
      </c>
      <c r="C21" s="30">
        <f t="shared" si="2"/>
        <v>47553.330999999998</v>
      </c>
      <c r="D21" t="str">
        <f t="shared" si="3"/>
        <v>vis</v>
      </c>
      <c r="E21">
        <f>VLOOKUP(C21,Active!C$21:E$971,3,FALSE)</f>
        <v>8471.0083931502704</v>
      </c>
      <c r="F21" s="4" t="s">
        <v>101</v>
      </c>
      <c r="G21" t="str">
        <f t="shared" si="4"/>
        <v>47553.331</v>
      </c>
      <c r="H21" s="30">
        <f t="shared" si="5"/>
        <v>8471</v>
      </c>
      <c r="I21" s="39" t="s">
        <v>146</v>
      </c>
      <c r="J21" s="40" t="s">
        <v>147</v>
      </c>
      <c r="K21" s="39">
        <v>8471</v>
      </c>
      <c r="L21" s="39" t="s">
        <v>148</v>
      </c>
      <c r="M21" s="40" t="s">
        <v>111</v>
      </c>
      <c r="N21" s="40"/>
      <c r="O21" s="41" t="s">
        <v>149</v>
      </c>
      <c r="P21" s="42" t="s">
        <v>150</v>
      </c>
    </row>
    <row r="22" spans="1:16" ht="12.75" customHeight="1" x14ac:dyDescent="0.2">
      <c r="A22" s="30" t="str">
        <f t="shared" si="0"/>
        <v>BAVM 52 </v>
      </c>
      <c r="B22" s="4" t="str">
        <f t="shared" si="1"/>
        <v>I</v>
      </c>
      <c r="C22" s="30">
        <f t="shared" si="2"/>
        <v>47562.389000000003</v>
      </c>
      <c r="D22" t="str">
        <f t="shared" si="3"/>
        <v>vis</v>
      </c>
      <c r="E22">
        <f>VLOOKUP(C22,Active!C$21:E$971,3,FALSE)</f>
        <v>8476.011364665701</v>
      </c>
      <c r="F22" s="4" t="s">
        <v>101</v>
      </c>
      <c r="G22" t="str">
        <f t="shared" si="4"/>
        <v>47562.389</v>
      </c>
      <c r="H22" s="30">
        <f t="shared" si="5"/>
        <v>8476</v>
      </c>
      <c r="I22" s="39" t="s">
        <v>151</v>
      </c>
      <c r="J22" s="40" t="s">
        <v>152</v>
      </c>
      <c r="K22" s="39">
        <v>8476</v>
      </c>
      <c r="L22" s="39" t="s">
        <v>153</v>
      </c>
      <c r="M22" s="40" t="s">
        <v>111</v>
      </c>
      <c r="N22" s="40"/>
      <c r="O22" s="41" t="s">
        <v>149</v>
      </c>
      <c r="P22" s="42" t="s">
        <v>150</v>
      </c>
    </row>
    <row r="23" spans="1:16" ht="12.75" customHeight="1" x14ac:dyDescent="0.2">
      <c r="A23" s="30" t="str">
        <f t="shared" si="0"/>
        <v> BBS 94 </v>
      </c>
      <c r="B23" s="4" t="str">
        <f t="shared" si="1"/>
        <v>I</v>
      </c>
      <c r="C23" s="30">
        <f t="shared" si="2"/>
        <v>47924.472000000002</v>
      </c>
      <c r="D23" t="str">
        <f t="shared" si="3"/>
        <v>vis</v>
      </c>
      <c r="E23">
        <f>VLOOKUP(C23,Active!C$21:E$971,3,FALSE)</f>
        <v>8675.9993239526248</v>
      </c>
      <c r="F23" s="4" t="s">
        <v>101</v>
      </c>
      <c r="G23" t="str">
        <f t="shared" si="4"/>
        <v>47924.472</v>
      </c>
      <c r="H23" s="30">
        <f t="shared" si="5"/>
        <v>8676</v>
      </c>
      <c r="I23" s="39" t="s">
        <v>154</v>
      </c>
      <c r="J23" s="40" t="s">
        <v>155</v>
      </c>
      <c r="K23" s="39">
        <v>8676</v>
      </c>
      <c r="L23" s="39" t="s">
        <v>156</v>
      </c>
      <c r="M23" s="40" t="s">
        <v>105</v>
      </c>
      <c r="N23" s="40"/>
      <c r="O23" s="41" t="s">
        <v>140</v>
      </c>
      <c r="P23" s="41" t="s">
        <v>157</v>
      </c>
    </row>
    <row r="24" spans="1:16" ht="12.75" customHeight="1" x14ac:dyDescent="0.2">
      <c r="A24" s="30" t="str">
        <f t="shared" si="0"/>
        <v> BBS 97 </v>
      </c>
      <c r="B24" s="4" t="str">
        <f t="shared" si="1"/>
        <v>I</v>
      </c>
      <c r="C24" s="30">
        <f t="shared" si="2"/>
        <v>48308.317000000003</v>
      </c>
      <c r="D24" t="str">
        <f t="shared" si="3"/>
        <v>vis</v>
      </c>
      <c r="E24">
        <f>VLOOKUP(C24,Active!C$21:E$971,3,FALSE)</f>
        <v>8888.0070079159432</v>
      </c>
      <c r="F24" s="4" t="s">
        <v>101</v>
      </c>
      <c r="G24" t="str">
        <f t="shared" si="4"/>
        <v>48308.317</v>
      </c>
      <c r="H24" s="30">
        <f t="shared" si="5"/>
        <v>8888</v>
      </c>
      <c r="I24" s="39" t="s">
        <v>158</v>
      </c>
      <c r="J24" s="40" t="s">
        <v>159</v>
      </c>
      <c r="K24" s="39">
        <v>8888</v>
      </c>
      <c r="L24" s="39" t="s">
        <v>160</v>
      </c>
      <c r="M24" s="40" t="s">
        <v>105</v>
      </c>
      <c r="N24" s="40"/>
      <c r="O24" s="41" t="s">
        <v>161</v>
      </c>
      <c r="P24" s="41" t="s">
        <v>162</v>
      </c>
    </row>
    <row r="25" spans="1:16" ht="12.75" customHeight="1" x14ac:dyDescent="0.2">
      <c r="A25" s="30" t="str">
        <f t="shared" si="0"/>
        <v> BBS 100 </v>
      </c>
      <c r="B25" s="4" t="str">
        <f t="shared" si="1"/>
        <v>I</v>
      </c>
      <c r="C25" s="30">
        <f t="shared" si="2"/>
        <v>48652.33</v>
      </c>
      <c r="D25" t="str">
        <f t="shared" si="3"/>
        <v>vis</v>
      </c>
      <c r="E25">
        <f>VLOOKUP(C25,Active!C$21:E$971,3,FALSE)</f>
        <v>9078.014431181251</v>
      </c>
      <c r="F25" s="4" t="s">
        <v>101</v>
      </c>
      <c r="G25" t="str">
        <f t="shared" si="4"/>
        <v>48652.330</v>
      </c>
      <c r="H25" s="30">
        <f t="shared" si="5"/>
        <v>9078</v>
      </c>
      <c r="I25" s="39" t="s">
        <v>163</v>
      </c>
      <c r="J25" s="40" t="s">
        <v>164</v>
      </c>
      <c r="K25" s="39">
        <v>9078</v>
      </c>
      <c r="L25" s="39" t="s">
        <v>165</v>
      </c>
      <c r="M25" s="40" t="s">
        <v>105</v>
      </c>
      <c r="N25" s="40"/>
      <c r="O25" s="41" t="s">
        <v>140</v>
      </c>
      <c r="P25" s="41" t="s">
        <v>166</v>
      </c>
    </row>
    <row r="26" spans="1:16" ht="12.75" customHeight="1" x14ac:dyDescent="0.2">
      <c r="A26" s="30" t="str">
        <f t="shared" si="0"/>
        <v>IBVS 3925 </v>
      </c>
      <c r="B26" s="4" t="str">
        <f t="shared" si="1"/>
        <v>I</v>
      </c>
      <c r="C26" s="30">
        <f t="shared" si="2"/>
        <v>48916.657599999999</v>
      </c>
      <c r="D26" t="str">
        <f t="shared" si="3"/>
        <v>vis</v>
      </c>
      <c r="E26">
        <f>VLOOKUP(C26,Active!C$21:E$971,3,FALSE)</f>
        <v>9224.0095132679817</v>
      </c>
      <c r="F26" s="4" t="s">
        <v>101</v>
      </c>
      <c r="G26" t="str">
        <f t="shared" si="4"/>
        <v>48916.6576</v>
      </c>
      <c r="H26" s="30">
        <f t="shared" si="5"/>
        <v>9224</v>
      </c>
      <c r="I26" s="39" t="s">
        <v>167</v>
      </c>
      <c r="J26" s="40" t="s">
        <v>168</v>
      </c>
      <c r="K26" s="39">
        <v>9224</v>
      </c>
      <c r="L26" s="39" t="s">
        <v>169</v>
      </c>
      <c r="M26" s="40" t="s">
        <v>170</v>
      </c>
      <c r="N26" s="40" t="s">
        <v>171</v>
      </c>
      <c r="O26" s="41" t="s">
        <v>172</v>
      </c>
      <c r="P26" s="42" t="s">
        <v>173</v>
      </c>
    </row>
    <row r="27" spans="1:16" ht="12.75" customHeight="1" x14ac:dyDescent="0.2">
      <c r="A27" s="30" t="str">
        <f t="shared" si="0"/>
        <v>BAVM 62 </v>
      </c>
      <c r="B27" s="4" t="str">
        <f t="shared" si="1"/>
        <v>I</v>
      </c>
      <c r="C27" s="30">
        <f t="shared" si="2"/>
        <v>49005.372300000003</v>
      </c>
      <c r="D27" t="str">
        <f t="shared" si="3"/>
        <v>vis</v>
      </c>
      <c r="E27">
        <f>VLOOKUP(C27,Active!C$21:E$971,3,FALSE)</f>
        <v>9273.008974197528</v>
      </c>
      <c r="F27" s="4" t="s">
        <v>101</v>
      </c>
      <c r="G27" t="str">
        <f t="shared" si="4"/>
        <v>49005.3723</v>
      </c>
      <c r="H27" s="30">
        <f t="shared" si="5"/>
        <v>9273</v>
      </c>
      <c r="I27" s="39" t="s">
        <v>174</v>
      </c>
      <c r="J27" s="40" t="s">
        <v>175</v>
      </c>
      <c r="K27" s="39">
        <v>9273</v>
      </c>
      <c r="L27" s="39" t="s">
        <v>176</v>
      </c>
      <c r="M27" s="40" t="s">
        <v>170</v>
      </c>
      <c r="N27" s="40" t="s">
        <v>177</v>
      </c>
      <c r="O27" s="41" t="s">
        <v>178</v>
      </c>
      <c r="P27" s="42" t="s">
        <v>179</v>
      </c>
    </row>
    <row r="28" spans="1:16" ht="12.75" customHeight="1" x14ac:dyDescent="0.2">
      <c r="A28" s="30" t="str">
        <f t="shared" si="0"/>
        <v> BBS 103 </v>
      </c>
      <c r="B28" s="4" t="str">
        <f t="shared" si="1"/>
        <v>I</v>
      </c>
      <c r="C28" s="30">
        <f t="shared" si="2"/>
        <v>49005.38</v>
      </c>
      <c r="D28" t="str">
        <f t="shared" si="3"/>
        <v>vis</v>
      </c>
      <c r="E28">
        <f>VLOOKUP(C28,Active!C$21:E$971,3,FALSE)</f>
        <v>9273.013227109941</v>
      </c>
      <c r="F28" s="4" t="s">
        <v>101</v>
      </c>
      <c r="G28" t="str">
        <f t="shared" si="4"/>
        <v>49005.380</v>
      </c>
      <c r="H28" s="30">
        <f t="shared" si="5"/>
        <v>9273</v>
      </c>
      <c r="I28" s="39" t="s">
        <v>180</v>
      </c>
      <c r="J28" s="40" t="s">
        <v>181</v>
      </c>
      <c r="K28" s="39">
        <v>9273</v>
      </c>
      <c r="L28" s="39" t="s">
        <v>182</v>
      </c>
      <c r="M28" s="40" t="s">
        <v>170</v>
      </c>
      <c r="N28" s="40" t="s">
        <v>171</v>
      </c>
      <c r="O28" s="41" t="s">
        <v>183</v>
      </c>
      <c r="P28" s="41" t="s">
        <v>184</v>
      </c>
    </row>
    <row r="29" spans="1:16" ht="12.75" customHeight="1" x14ac:dyDescent="0.2">
      <c r="A29" s="30" t="str">
        <f t="shared" si="0"/>
        <v> BBS 103 </v>
      </c>
      <c r="B29" s="4" t="str">
        <f t="shared" si="1"/>
        <v>I</v>
      </c>
      <c r="C29" s="30">
        <f t="shared" si="2"/>
        <v>49005.389000000003</v>
      </c>
      <c r="D29" t="str">
        <f t="shared" si="3"/>
        <v>vis</v>
      </c>
      <c r="E29">
        <f>VLOOKUP(C29,Active!C$21:E$971,3,FALSE)</f>
        <v>9273.018198046535</v>
      </c>
      <c r="F29" s="4" t="s">
        <v>101</v>
      </c>
      <c r="G29" t="str">
        <f t="shared" si="4"/>
        <v>49005.389</v>
      </c>
      <c r="H29" s="30">
        <f t="shared" si="5"/>
        <v>9273</v>
      </c>
      <c r="I29" s="39" t="s">
        <v>185</v>
      </c>
      <c r="J29" s="40" t="s">
        <v>186</v>
      </c>
      <c r="K29" s="39">
        <v>9273</v>
      </c>
      <c r="L29" s="39" t="s">
        <v>187</v>
      </c>
      <c r="M29" s="40" t="s">
        <v>105</v>
      </c>
      <c r="N29" s="40"/>
      <c r="O29" s="41" t="s">
        <v>140</v>
      </c>
      <c r="P29" s="41" t="s">
        <v>184</v>
      </c>
    </row>
    <row r="30" spans="1:16" ht="12.75" customHeight="1" x14ac:dyDescent="0.2">
      <c r="A30" s="30" t="str">
        <f t="shared" si="0"/>
        <v> BBS 106 </v>
      </c>
      <c r="B30" s="4" t="str">
        <f t="shared" si="1"/>
        <v>I</v>
      </c>
      <c r="C30" s="30">
        <f t="shared" si="2"/>
        <v>49416.370999999999</v>
      </c>
      <c r="D30" t="str">
        <f t="shared" si="3"/>
        <v>vis</v>
      </c>
      <c r="E30">
        <f>VLOOKUP(C30,Active!C$21:E$971,3,FALSE)</f>
        <v>9500.0143604834848</v>
      </c>
      <c r="F30" s="4" t="s">
        <v>101</v>
      </c>
      <c r="G30" t="str">
        <f t="shared" si="4"/>
        <v>49416.371</v>
      </c>
      <c r="H30" s="30">
        <f t="shared" si="5"/>
        <v>9500</v>
      </c>
      <c r="I30" s="39" t="s">
        <v>188</v>
      </c>
      <c r="J30" s="40" t="s">
        <v>189</v>
      </c>
      <c r="K30" s="39">
        <v>9500</v>
      </c>
      <c r="L30" s="39" t="s">
        <v>165</v>
      </c>
      <c r="M30" s="40" t="s">
        <v>105</v>
      </c>
      <c r="N30" s="40"/>
      <c r="O30" s="41" t="s">
        <v>140</v>
      </c>
      <c r="P30" s="41" t="s">
        <v>190</v>
      </c>
    </row>
    <row r="31" spans="1:16" ht="12.75" customHeight="1" x14ac:dyDescent="0.2">
      <c r="A31" s="30" t="str">
        <f t="shared" si="0"/>
        <v> BBS 108 </v>
      </c>
      <c r="B31" s="4" t="str">
        <f t="shared" si="1"/>
        <v>I</v>
      </c>
      <c r="C31" s="30">
        <f t="shared" si="2"/>
        <v>49789.334000000003</v>
      </c>
      <c r="D31" t="str">
        <f t="shared" si="3"/>
        <v>vis</v>
      </c>
      <c r="E31">
        <f>VLOOKUP(C31,Active!C$21:E$971,3,FALSE)</f>
        <v>9706.0116297823188</v>
      </c>
      <c r="F31" s="4" t="s">
        <v>101</v>
      </c>
      <c r="G31" t="str">
        <f t="shared" si="4"/>
        <v>49789.334</v>
      </c>
      <c r="H31" s="30">
        <f t="shared" si="5"/>
        <v>9706</v>
      </c>
      <c r="I31" s="39" t="s">
        <v>191</v>
      </c>
      <c r="J31" s="40" t="s">
        <v>192</v>
      </c>
      <c r="K31" s="39">
        <v>9706</v>
      </c>
      <c r="L31" s="39" t="s">
        <v>153</v>
      </c>
      <c r="M31" s="40" t="s">
        <v>105</v>
      </c>
      <c r="N31" s="40"/>
      <c r="O31" s="41" t="s">
        <v>140</v>
      </c>
      <c r="P31" s="41" t="s">
        <v>193</v>
      </c>
    </row>
    <row r="32" spans="1:16" ht="12.75" customHeight="1" x14ac:dyDescent="0.2">
      <c r="A32" s="30" t="str">
        <f t="shared" si="0"/>
        <v> BBS 114 </v>
      </c>
      <c r="B32" s="4" t="str">
        <f t="shared" si="1"/>
        <v>I</v>
      </c>
      <c r="C32" s="30">
        <f t="shared" si="2"/>
        <v>50486.381999999998</v>
      </c>
      <c r="D32" t="str">
        <f t="shared" si="3"/>
        <v>vis</v>
      </c>
      <c r="E32">
        <f>VLOOKUP(C32,Active!C$21:E$971,3,FALSE)</f>
        <v>10091.009564082</v>
      </c>
      <c r="F32" s="4" t="s">
        <v>101</v>
      </c>
      <c r="G32" t="str">
        <f t="shared" si="4"/>
        <v>50486.382</v>
      </c>
      <c r="H32" s="30">
        <f t="shared" si="5"/>
        <v>10091</v>
      </c>
      <c r="I32" s="39" t="s">
        <v>194</v>
      </c>
      <c r="J32" s="40" t="s">
        <v>195</v>
      </c>
      <c r="K32" s="39">
        <v>10091</v>
      </c>
      <c r="L32" s="39" t="s">
        <v>196</v>
      </c>
      <c r="M32" s="40" t="s">
        <v>105</v>
      </c>
      <c r="N32" s="40"/>
      <c r="O32" s="41" t="s">
        <v>140</v>
      </c>
      <c r="P32" s="41" t="s">
        <v>197</v>
      </c>
    </row>
    <row r="33" spans="1:16" ht="12.75" customHeight="1" x14ac:dyDescent="0.2">
      <c r="A33" s="30" t="str">
        <f t="shared" si="0"/>
        <v> BBS 117 </v>
      </c>
      <c r="B33" s="4" t="str">
        <f t="shared" si="1"/>
        <v>I</v>
      </c>
      <c r="C33" s="30">
        <f t="shared" si="2"/>
        <v>50859.348599999998</v>
      </c>
      <c r="D33" t="str">
        <f t="shared" si="3"/>
        <v>vis</v>
      </c>
      <c r="E33">
        <f>VLOOKUP(C33,Active!C$21:E$971,3,FALSE)</f>
        <v>10297.008821755469</v>
      </c>
      <c r="F33" s="4" t="s">
        <v>101</v>
      </c>
      <c r="G33" t="str">
        <f t="shared" si="4"/>
        <v>50859.3486</v>
      </c>
      <c r="H33" s="30">
        <f t="shared" si="5"/>
        <v>10297</v>
      </c>
      <c r="I33" s="39" t="s">
        <v>198</v>
      </c>
      <c r="J33" s="40" t="s">
        <v>199</v>
      </c>
      <c r="K33" s="39">
        <v>10297</v>
      </c>
      <c r="L33" s="39" t="s">
        <v>200</v>
      </c>
      <c r="M33" s="40" t="s">
        <v>170</v>
      </c>
      <c r="N33" s="40" t="s">
        <v>171</v>
      </c>
      <c r="O33" s="41" t="s">
        <v>201</v>
      </c>
      <c r="P33" s="41" t="s">
        <v>202</v>
      </c>
    </row>
    <row r="34" spans="1:16" ht="12.75" customHeight="1" x14ac:dyDescent="0.2">
      <c r="A34" s="30" t="str">
        <f t="shared" si="0"/>
        <v> BBS 117 </v>
      </c>
      <c r="B34" s="4" t="str">
        <f t="shared" si="1"/>
        <v>I</v>
      </c>
      <c r="C34" s="30">
        <f t="shared" si="2"/>
        <v>50859.362000000001</v>
      </c>
      <c r="D34" t="str">
        <f t="shared" si="3"/>
        <v>vis</v>
      </c>
      <c r="E34">
        <f>VLOOKUP(C34,Active!C$21:E$971,3,FALSE)</f>
        <v>10297.016222927728</v>
      </c>
      <c r="F34" s="4" t="s">
        <v>101</v>
      </c>
      <c r="G34" t="str">
        <f t="shared" si="4"/>
        <v>50859.362</v>
      </c>
      <c r="H34" s="30">
        <f t="shared" si="5"/>
        <v>10297</v>
      </c>
      <c r="I34" s="39" t="s">
        <v>203</v>
      </c>
      <c r="J34" s="40" t="s">
        <v>204</v>
      </c>
      <c r="K34" s="39">
        <v>10297</v>
      </c>
      <c r="L34" s="39" t="s">
        <v>139</v>
      </c>
      <c r="M34" s="40" t="s">
        <v>105</v>
      </c>
      <c r="N34" s="40"/>
      <c r="O34" s="41" t="s">
        <v>140</v>
      </c>
      <c r="P34" s="41" t="s">
        <v>202</v>
      </c>
    </row>
    <row r="35" spans="1:16" ht="12.75" customHeight="1" x14ac:dyDescent="0.2">
      <c r="A35" s="30" t="str">
        <f t="shared" si="0"/>
        <v>IBVS 5502 </v>
      </c>
      <c r="B35" s="4" t="str">
        <f t="shared" si="1"/>
        <v>I</v>
      </c>
      <c r="C35" s="30">
        <f t="shared" si="2"/>
        <v>52682.55</v>
      </c>
      <c r="D35" t="str">
        <f t="shared" si="3"/>
        <v>vis</v>
      </c>
      <c r="E35">
        <f>VLOOKUP(C35,Active!C$21:E$971,3,FALSE)</f>
        <v>11304.010883037179</v>
      </c>
      <c r="F35" s="4" t="s">
        <v>101</v>
      </c>
      <c r="G35" t="str">
        <f t="shared" si="4"/>
        <v>52682.550</v>
      </c>
      <c r="H35" s="30">
        <f t="shared" si="5"/>
        <v>11304</v>
      </c>
      <c r="I35" s="39" t="s">
        <v>205</v>
      </c>
      <c r="J35" s="40" t="s">
        <v>206</v>
      </c>
      <c r="K35" s="39">
        <v>11304</v>
      </c>
      <c r="L35" s="39" t="s">
        <v>207</v>
      </c>
      <c r="M35" s="40" t="s">
        <v>170</v>
      </c>
      <c r="N35" s="40" t="s">
        <v>171</v>
      </c>
      <c r="O35" s="41" t="s">
        <v>208</v>
      </c>
      <c r="P35" s="42" t="s">
        <v>209</v>
      </c>
    </row>
    <row r="36" spans="1:16" ht="12.75" customHeight="1" x14ac:dyDescent="0.2">
      <c r="A36" s="30" t="str">
        <f t="shared" si="0"/>
        <v>IBVS 5583 </v>
      </c>
      <c r="B36" s="4" t="str">
        <f t="shared" si="1"/>
        <v>I</v>
      </c>
      <c r="C36" s="30">
        <f t="shared" si="2"/>
        <v>53028.363100000002</v>
      </c>
      <c r="D36" t="str">
        <f t="shared" si="3"/>
        <v>vis</v>
      </c>
      <c r="E36">
        <f>VLOOKUP(C36,Active!C$21:E$971,3,FALSE)</f>
        <v>11495.012548853263</v>
      </c>
      <c r="F36" s="4" t="s">
        <v>101</v>
      </c>
      <c r="G36" t="str">
        <f t="shared" si="4"/>
        <v>53028.3631</v>
      </c>
      <c r="H36" s="30">
        <f t="shared" si="5"/>
        <v>11495</v>
      </c>
      <c r="I36" s="39" t="s">
        <v>210</v>
      </c>
      <c r="J36" s="40" t="s">
        <v>211</v>
      </c>
      <c r="K36" s="39">
        <v>11495</v>
      </c>
      <c r="L36" s="39" t="s">
        <v>212</v>
      </c>
      <c r="M36" s="40" t="s">
        <v>170</v>
      </c>
      <c r="N36" s="40" t="s">
        <v>171</v>
      </c>
      <c r="O36" s="41" t="s">
        <v>213</v>
      </c>
      <c r="P36" s="42" t="s">
        <v>214</v>
      </c>
    </row>
    <row r="37" spans="1:16" ht="12.75" customHeight="1" x14ac:dyDescent="0.2">
      <c r="A37" s="30" t="str">
        <f t="shared" si="0"/>
        <v>IBVS 5672 </v>
      </c>
      <c r="B37" s="4" t="str">
        <f t="shared" si="1"/>
        <v>I</v>
      </c>
      <c r="C37" s="30">
        <f t="shared" si="2"/>
        <v>53417.630100000002</v>
      </c>
      <c r="D37" t="str">
        <f t="shared" si="3"/>
        <v>vis</v>
      </c>
      <c r="E37">
        <f>VLOOKUP(C37,Active!C$21:E$971,3,FALSE)</f>
        <v>11710.014945949351</v>
      </c>
      <c r="F37" s="4" t="s">
        <v>101</v>
      </c>
      <c r="G37" t="str">
        <f t="shared" si="4"/>
        <v>53417.6301</v>
      </c>
      <c r="H37" s="30">
        <f t="shared" si="5"/>
        <v>11710</v>
      </c>
      <c r="I37" s="39" t="s">
        <v>215</v>
      </c>
      <c r="J37" s="40" t="s">
        <v>216</v>
      </c>
      <c r="K37" s="39">
        <v>11710</v>
      </c>
      <c r="L37" s="39" t="s">
        <v>217</v>
      </c>
      <c r="M37" s="40" t="s">
        <v>170</v>
      </c>
      <c r="N37" s="40" t="s">
        <v>171</v>
      </c>
      <c r="O37" s="41" t="s">
        <v>218</v>
      </c>
      <c r="P37" s="42" t="s">
        <v>219</v>
      </c>
    </row>
    <row r="38" spans="1:16" ht="12.75" customHeight="1" x14ac:dyDescent="0.2">
      <c r="A38" s="30" t="str">
        <f t="shared" si="0"/>
        <v>OEJV 0074 </v>
      </c>
      <c r="B38" s="4" t="str">
        <f t="shared" si="1"/>
        <v>I</v>
      </c>
      <c r="C38" s="30">
        <f t="shared" si="2"/>
        <v>53763.442840000003</v>
      </c>
      <c r="D38" t="str">
        <f t="shared" si="3"/>
        <v>vis</v>
      </c>
      <c r="E38">
        <f>VLOOKUP(C38,Active!C$21:E$971,3,FALSE)</f>
        <v>11901.016412927973</v>
      </c>
      <c r="F38" s="4" t="s">
        <v>101</v>
      </c>
      <c r="G38" t="str">
        <f t="shared" si="4"/>
        <v>53763.44284</v>
      </c>
      <c r="H38" s="30">
        <f t="shared" si="5"/>
        <v>11901</v>
      </c>
      <c r="I38" s="39" t="s">
        <v>220</v>
      </c>
      <c r="J38" s="40" t="s">
        <v>221</v>
      </c>
      <c r="K38" s="39">
        <v>11901</v>
      </c>
      <c r="L38" s="39" t="s">
        <v>222</v>
      </c>
      <c r="M38" s="40" t="s">
        <v>223</v>
      </c>
      <c r="N38" s="40" t="s">
        <v>46</v>
      </c>
      <c r="O38" s="41" t="s">
        <v>224</v>
      </c>
      <c r="P38" s="42" t="s">
        <v>225</v>
      </c>
    </row>
    <row r="39" spans="1:16" ht="12.75" customHeight="1" x14ac:dyDescent="0.2">
      <c r="A39" s="30" t="str">
        <f t="shared" si="0"/>
        <v>IBVS 5931 </v>
      </c>
      <c r="B39" s="4" t="str">
        <f t="shared" si="1"/>
        <v>I</v>
      </c>
      <c r="C39" s="30">
        <f t="shared" si="2"/>
        <v>54154.5213</v>
      </c>
      <c r="D39" t="str">
        <f t="shared" si="3"/>
        <v>vis</v>
      </c>
      <c r="E39">
        <f>VLOOKUP(C39,Active!C$21:E$971,3,FALSE)</f>
        <v>12117.019327001466</v>
      </c>
      <c r="F39" s="4" t="s">
        <v>101</v>
      </c>
      <c r="G39" t="str">
        <f t="shared" si="4"/>
        <v>54154.5213</v>
      </c>
      <c r="H39" s="30">
        <f t="shared" si="5"/>
        <v>12117</v>
      </c>
      <c r="I39" s="39" t="s">
        <v>226</v>
      </c>
      <c r="J39" s="40" t="s">
        <v>227</v>
      </c>
      <c r="K39" s="39">
        <v>12117</v>
      </c>
      <c r="L39" s="39" t="s">
        <v>228</v>
      </c>
      <c r="M39" s="40" t="s">
        <v>223</v>
      </c>
      <c r="N39" s="40" t="s">
        <v>101</v>
      </c>
      <c r="O39" s="41" t="s">
        <v>229</v>
      </c>
      <c r="P39" s="42" t="s">
        <v>230</v>
      </c>
    </row>
    <row r="40" spans="1:16" ht="12.75" customHeight="1" x14ac:dyDescent="0.2">
      <c r="A40" s="30" t="str">
        <f t="shared" si="0"/>
        <v>IBVS 5931 </v>
      </c>
      <c r="B40" s="4" t="str">
        <f t="shared" si="1"/>
        <v>I</v>
      </c>
      <c r="C40" s="30">
        <f t="shared" si="2"/>
        <v>54330.137600000002</v>
      </c>
      <c r="D40" t="str">
        <f t="shared" si="3"/>
        <v>vis</v>
      </c>
      <c r="E40">
        <f>VLOOKUP(C40,Active!C$21:E$971,3,FALSE)</f>
        <v>12214.016826068035</v>
      </c>
      <c r="F40" s="4" t="s">
        <v>101</v>
      </c>
      <c r="G40" t="str">
        <f t="shared" si="4"/>
        <v>54330.1376</v>
      </c>
      <c r="H40" s="30">
        <f t="shared" si="5"/>
        <v>12214</v>
      </c>
      <c r="I40" s="39" t="s">
        <v>231</v>
      </c>
      <c r="J40" s="40" t="s">
        <v>232</v>
      </c>
      <c r="K40" s="39">
        <v>12214</v>
      </c>
      <c r="L40" s="39" t="s">
        <v>233</v>
      </c>
      <c r="M40" s="40" t="s">
        <v>223</v>
      </c>
      <c r="N40" s="40" t="s">
        <v>101</v>
      </c>
      <c r="O40" s="41" t="s">
        <v>229</v>
      </c>
      <c r="P40" s="42" t="s">
        <v>230</v>
      </c>
    </row>
    <row r="41" spans="1:16" ht="12.75" customHeight="1" x14ac:dyDescent="0.2">
      <c r="A41" s="30" t="str">
        <f t="shared" si="0"/>
        <v>BAVM 201 </v>
      </c>
      <c r="B41" s="4" t="str">
        <f t="shared" si="1"/>
        <v>I</v>
      </c>
      <c r="C41" s="30">
        <f t="shared" si="2"/>
        <v>54500.328699999998</v>
      </c>
      <c r="D41" t="str">
        <f t="shared" si="3"/>
        <v>vis</v>
      </c>
      <c r="E41">
        <f>VLOOKUP(C41,Active!C$21:E$971,3,FALSE)</f>
        <v>12308.017844557708</v>
      </c>
      <c r="F41" s="4" t="s">
        <v>101</v>
      </c>
      <c r="G41" t="str">
        <f t="shared" si="4"/>
        <v>54500.3287</v>
      </c>
      <c r="H41" s="30">
        <f t="shared" si="5"/>
        <v>12308</v>
      </c>
      <c r="I41" s="39" t="s">
        <v>234</v>
      </c>
      <c r="J41" s="40" t="s">
        <v>235</v>
      </c>
      <c r="K41" s="39">
        <v>12308</v>
      </c>
      <c r="L41" s="39" t="s">
        <v>236</v>
      </c>
      <c r="M41" s="40" t="s">
        <v>223</v>
      </c>
      <c r="N41" s="40">
        <v>0</v>
      </c>
      <c r="O41" s="41" t="s">
        <v>237</v>
      </c>
      <c r="P41" s="42" t="s">
        <v>238</v>
      </c>
    </row>
    <row r="42" spans="1:16" ht="12.75" customHeight="1" x14ac:dyDescent="0.2">
      <c r="A42" s="30" t="str">
        <f t="shared" si="0"/>
        <v>IBVS 5931 </v>
      </c>
      <c r="B42" s="4" t="str">
        <f t="shared" si="1"/>
        <v>I</v>
      </c>
      <c r="C42" s="30">
        <f t="shared" si="2"/>
        <v>54507.572800000002</v>
      </c>
      <c r="D42" t="str">
        <f t="shared" si="3"/>
        <v>vis</v>
      </c>
      <c r="E42">
        <f>VLOOKUP(C42,Active!C$21:E$971,3,FALSE)</f>
        <v>12312.01895141959</v>
      </c>
      <c r="F42" s="4" t="s">
        <v>101</v>
      </c>
      <c r="G42" t="str">
        <f t="shared" si="4"/>
        <v>54507.5728</v>
      </c>
      <c r="H42" s="30">
        <f t="shared" si="5"/>
        <v>12312</v>
      </c>
      <c r="I42" s="39" t="s">
        <v>239</v>
      </c>
      <c r="J42" s="40" t="s">
        <v>240</v>
      </c>
      <c r="K42" s="39">
        <v>12312</v>
      </c>
      <c r="L42" s="39" t="s">
        <v>241</v>
      </c>
      <c r="M42" s="40" t="s">
        <v>223</v>
      </c>
      <c r="N42" s="40" t="s">
        <v>101</v>
      </c>
      <c r="O42" s="41" t="s">
        <v>229</v>
      </c>
      <c r="P42" s="42" t="s">
        <v>230</v>
      </c>
    </row>
    <row r="43" spans="1:16" ht="12.75" customHeight="1" x14ac:dyDescent="0.2">
      <c r="A43" s="30" t="str">
        <f t="shared" ref="A43:A66" si="6">P43</f>
        <v>BAVM 209 </v>
      </c>
      <c r="B43" s="4" t="str">
        <f t="shared" ref="B43:B66" si="7">IF(H43=INT(H43),"I","II")</f>
        <v>II</v>
      </c>
      <c r="C43" s="30">
        <f t="shared" ref="C43:C66" si="8">1*G43</f>
        <v>54843.429799999998</v>
      </c>
      <c r="D43" t="str">
        <f t="shared" ref="D43:D66" si="9">VLOOKUP(F43,I$1:J$5,2,FALSE)</f>
        <v>vis</v>
      </c>
      <c r="E43">
        <f>VLOOKUP(C43,Active!C$21:E$971,3,FALSE)</f>
        <v>12497.521601481118</v>
      </c>
      <c r="F43" s="4" t="s">
        <v>101</v>
      </c>
      <c r="G43" t="str">
        <f t="shared" ref="G43:G66" si="10">MID(I43,3,LEN(I43)-3)</f>
        <v>54843.4298</v>
      </c>
      <c r="H43" s="30">
        <f t="shared" ref="H43:H66" si="11">1*K43</f>
        <v>12497.5</v>
      </c>
      <c r="I43" s="39" t="s">
        <v>242</v>
      </c>
      <c r="J43" s="40" t="s">
        <v>243</v>
      </c>
      <c r="K43" s="39">
        <v>12497.5</v>
      </c>
      <c r="L43" s="39" t="s">
        <v>244</v>
      </c>
      <c r="M43" s="40" t="s">
        <v>223</v>
      </c>
      <c r="N43" s="40">
        <v>0</v>
      </c>
      <c r="O43" s="41" t="s">
        <v>245</v>
      </c>
      <c r="P43" s="42" t="s">
        <v>246</v>
      </c>
    </row>
    <row r="44" spans="1:16" ht="12.75" customHeight="1" x14ac:dyDescent="0.2">
      <c r="A44" s="30" t="str">
        <f t="shared" si="6"/>
        <v>IBVS 5894 </v>
      </c>
      <c r="B44" s="4" t="str">
        <f t="shared" si="7"/>
        <v>I</v>
      </c>
      <c r="C44" s="30">
        <f t="shared" si="8"/>
        <v>54860.623</v>
      </c>
      <c r="D44" t="str">
        <f t="shared" si="9"/>
        <v>vis</v>
      </c>
      <c r="E44">
        <f>VLOOKUP(C44,Active!C$21:E$971,3,FALSE)</f>
        <v>12507.01785781354</v>
      </c>
      <c r="F44" s="4" t="s">
        <v>101</v>
      </c>
      <c r="G44" t="str">
        <f t="shared" si="10"/>
        <v>54860.623</v>
      </c>
      <c r="H44" s="30">
        <f t="shared" si="11"/>
        <v>12507</v>
      </c>
      <c r="I44" s="39" t="s">
        <v>247</v>
      </c>
      <c r="J44" s="40" t="s">
        <v>248</v>
      </c>
      <c r="K44" s="39">
        <v>12507</v>
      </c>
      <c r="L44" s="39" t="s">
        <v>249</v>
      </c>
      <c r="M44" s="40" t="s">
        <v>223</v>
      </c>
      <c r="N44" s="40" t="s">
        <v>101</v>
      </c>
      <c r="O44" s="41" t="s">
        <v>201</v>
      </c>
      <c r="P44" s="42" t="s">
        <v>250</v>
      </c>
    </row>
    <row r="45" spans="1:16" ht="12.75" customHeight="1" x14ac:dyDescent="0.2">
      <c r="A45" s="30" t="str">
        <f t="shared" si="6"/>
        <v>IBVS 5920 </v>
      </c>
      <c r="B45" s="4" t="str">
        <f t="shared" si="7"/>
        <v>I</v>
      </c>
      <c r="C45" s="30">
        <f t="shared" si="8"/>
        <v>55144.875399999997</v>
      </c>
      <c r="D45" t="str">
        <f t="shared" si="9"/>
        <v>vis</v>
      </c>
      <c r="E45">
        <f>VLOOKUP(C45,Active!C$21:E$971,3,FALSE)</f>
        <v>12664.017930720609</v>
      </c>
      <c r="F45" s="4" t="s">
        <v>101</v>
      </c>
      <c r="G45" t="str">
        <f t="shared" si="10"/>
        <v>55144.8754</v>
      </c>
      <c r="H45" s="30">
        <f t="shared" si="11"/>
        <v>12664</v>
      </c>
      <c r="I45" s="39" t="s">
        <v>251</v>
      </c>
      <c r="J45" s="40" t="s">
        <v>252</v>
      </c>
      <c r="K45" s="39">
        <v>12664</v>
      </c>
      <c r="L45" s="39" t="s">
        <v>253</v>
      </c>
      <c r="M45" s="40" t="s">
        <v>223</v>
      </c>
      <c r="N45" s="40" t="s">
        <v>101</v>
      </c>
      <c r="O45" s="41" t="s">
        <v>201</v>
      </c>
      <c r="P45" s="42" t="s">
        <v>254</v>
      </c>
    </row>
    <row r="46" spans="1:16" ht="12.75" customHeight="1" x14ac:dyDescent="0.2">
      <c r="A46" s="30" t="str">
        <f t="shared" si="6"/>
        <v>BAVM 215 </v>
      </c>
      <c r="B46" s="4" t="str">
        <f t="shared" si="7"/>
        <v>I</v>
      </c>
      <c r="C46" s="30">
        <f t="shared" si="8"/>
        <v>55472.570599999999</v>
      </c>
      <c r="D46" t="str">
        <f t="shared" si="9"/>
        <v>vis</v>
      </c>
      <c r="E46">
        <f>VLOOKUP(C46,Active!C$21:E$971,3,FALSE)</f>
        <v>12845.012604085889</v>
      </c>
      <c r="F46" s="4" t="s">
        <v>101</v>
      </c>
      <c r="G46" t="str">
        <f t="shared" si="10"/>
        <v>55472.5706</v>
      </c>
      <c r="H46" s="30">
        <f t="shared" si="11"/>
        <v>12845</v>
      </c>
      <c r="I46" s="39" t="s">
        <v>255</v>
      </c>
      <c r="J46" s="40" t="s">
        <v>256</v>
      </c>
      <c r="K46" s="39">
        <v>12845</v>
      </c>
      <c r="L46" s="39" t="s">
        <v>257</v>
      </c>
      <c r="M46" s="40" t="s">
        <v>223</v>
      </c>
      <c r="N46" s="40" t="s">
        <v>177</v>
      </c>
      <c r="O46" s="41" t="s">
        <v>258</v>
      </c>
      <c r="P46" s="42" t="s">
        <v>259</v>
      </c>
    </row>
    <row r="47" spans="1:16" ht="12.75" customHeight="1" x14ac:dyDescent="0.2">
      <c r="A47" s="30" t="str">
        <f t="shared" si="6"/>
        <v>IBVS 5960 </v>
      </c>
      <c r="B47" s="4" t="str">
        <f t="shared" si="7"/>
        <v>I</v>
      </c>
      <c r="C47" s="30">
        <f t="shared" si="8"/>
        <v>55517.846299999997</v>
      </c>
      <c r="D47" t="str">
        <f t="shared" si="9"/>
        <v>vis</v>
      </c>
      <c r="E47">
        <f>VLOOKUP(C47,Active!C$21:E$971,3,FALSE)</f>
        <v>12870.019563397116</v>
      </c>
      <c r="F47" s="4" t="s">
        <v>101</v>
      </c>
      <c r="G47" t="str">
        <f t="shared" si="10"/>
        <v>55517.8463</v>
      </c>
      <c r="H47" s="30">
        <f t="shared" si="11"/>
        <v>12870</v>
      </c>
      <c r="I47" s="39" t="s">
        <v>260</v>
      </c>
      <c r="J47" s="40" t="s">
        <v>261</v>
      </c>
      <c r="K47" s="39">
        <v>12870</v>
      </c>
      <c r="L47" s="39" t="s">
        <v>262</v>
      </c>
      <c r="M47" s="40" t="s">
        <v>223</v>
      </c>
      <c r="N47" s="40" t="s">
        <v>101</v>
      </c>
      <c r="O47" s="41" t="s">
        <v>201</v>
      </c>
      <c r="P47" s="42" t="s">
        <v>263</v>
      </c>
    </row>
    <row r="48" spans="1:16" ht="12.75" customHeight="1" x14ac:dyDescent="0.2">
      <c r="A48" s="30" t="str">
        <f t="shared" si="6"/>
        <v> JAAVSO 42;426 </v>
      </c>
      <c r="B48" s="4" t="str">
        <f t="shared" si="7"/>
        <v>I</v>
      </c>
      <c r="C48" s="30">
        <f t="shared" si="8"/>
        <v>56694.694499999998</v>
      </c>
      <c r="D48" t="str">
        <f t="shared" si="9"/>
        <v>vis</v>
      </c>
      <c r="E48">
        <f>VLOOKUP(C48,Active!C$21:E$971,3,FALSE)</f>
        <v>13520.023761076904</v>
      </c>
      <c r="F48" s="4" t="s">
        <v>101</v>
      </c>
      <c r="G48" t="str">
        <f t="shared" si="10"/>
        <v>56694.6945</v>
      </c>
      <c r="H48" s="30">
        <f t="shared" si="11"/>
        <v>13520</v>
      </c>
      <c r="I48" s="39" t="s">
        <v>264</v>
      </c>
      <c r="J48" s="40" t="s">
        <v>265</v>
      </c>
      <c r="K48" s="39">
        <v>13520</v>
      </c>
      <c r="L48" s="39" t="s">
        <v>266</v>
      </c>
      <c r="M48" s="40" t="s">
        <v>223</v>
      </c>
      <c r="N48" s="40" t="s">
        <v>96</v>
      </c>
      <c r="O48" s="41" t="s">
        <v>267</v>
      </c>
      <c r="P48" s="41" t="s">
        <v>268</v>
      </c>
    </row>
    <row r="49" spans="1:16" ht="12.75" customHeight="1" x14ac:dyDescent="0.2">
      <c r="A49" s="30" t="str">
        <f t="shared" si="6"/>
        <v> AA 27.156 </v>
      </c>
      <c r="B49" s="4" t="str">
        <f t="shared" si="7"/>
        <v>I</v>
      </c>
      <c r="C49" s="30">
        <f t="shared" si="8"/>
        <v>26417.26</v>
      </c>
      <c r="D49" t="str">
        <f t="shared" si="9"/>
        <v>vis</v>
      </c>
      <c r="E49">
        <f>VLOOKUP(C49,Active!C$21:E$971,3,FALSE)</f>
        <v>-3202.9992422083328</v>
      </c>
      <c r="F49" s="4" t="s">
        <v>101</v>
      </c>
      <c r="G49" t="str">
        <f t="shared" si="10"/>
        <v>26417.260</v>
      </c>
      <c r="H49" s="30">
        <f t="shared" si="11"/>
        <v>-3203</v>
      </c>
      <c r="I49" s="39" t="s">
        <v>269</v>
      </c>
      <c r="J49" s="40" t="s">
        <v>270</v>
      </c>
      <c r="K49" s="39">
        <v>-3203</v>
      </c>
      <c r="L49" s="39" t="s">
        <v>271</v>
      </c>
      <c r="M49" s="40" t="s">
        <v>105</v>
      </c>
      <c r="N49" s="40"/>
      <c r="O49" s="41" t="s">
        <v>106</v>
      </c>
      <c r="P49" s="41" t="s">
        <v>45</v>
      </c>
    </row>
    <row r="50" spans="1:16" ht="12.75" customHeight="1" x14ac:dyDescent="0.2">
      <c r="A50" s="30" t="str">
        <f t="shared" si="6"/>
        <v> AA 27.156 </v>
      </c>
      <c r="B50" s="4" t="str">
        <f t="shared" si="7"/>
        <v>I</v>
      </c>
      <c r="C50" s="30">
        <f t="shared" si="8"/>
        <v>26426.309000000001</v>
      </c>
      <c r="D50" t="str">
        <f t="shared" si="9"/>
        <v>vis</v>
      </c>
      <c r="E50">
        <f>VLOOKUP(C50,Active!C$21:E$971,3,FALSE)</f>
        <v>-3198.0012416294935</v>
      </c>
      <c r="F50" s="4" t="s">
        <v>101</v>
      </c>
      <c r="G50" t="str">
        <f t="shared" si="10"/>
        <v>26426.309</v>
      </c>
      <c r="H50" s="30">
        <f t="shared" si="11"/>
        <v>-3198</v>
      </c>
      <c r="I50" s="39" t="s">
        <v>272</v>
      </c>
      <c r="J50" s="40" t="s">
        <v>273</v>
      </c>
      <c r="K50" s="39">
        <v>-3198</v>
      </c>
      <c r="L50" s="39" t="s">
        <v>274</v>
      </c>
      <c r="M50" s="40" t="s">
        <v>105</v>
      </c>
      <c r="N50" s="40"/>
      <c r="O50" s="41" t="s">
        <v>106</v>
      </c>
      <c r="P50" s="41" t="s">
        <v>45</v>
      </c>
    </row>
    <row r="51" spans="1:16" ht="12.75" customHeight="1" x14ac:dyDescent="0.2">
      <c r="A51" s="30" t="str">
        <f t="shared" si="6"/>
        <v> AA 27.156 </v>
      </c>
      <c r="B51" s="4" t="str">
        <f t="shared" si="7"/>
        <v>I</v>
      </c>
      <c r="C51" s="30">
        <f t="shared" si="8"/>
        <v>27161.382000000001</v>
      </c>
      <c r="D51" t="str">
        <f t="shared" si="9"/>
        <v>vis</v>
      </c>
      <c r="E51">
        <f>VLOOKUP(C51,Active!C$21:E$971,3,FALSE)</f>
        <v>-2792.0011002339638</v>
      </c>
      <c r="F51" s="4" t="s">
        <v>101</v>
      </c>
      <c r="G51" t="str">
        <f t="shared" si="10"/>
        <v>27161.382</v>
      </c>
      <c r="H51" s="30">
        <f t="shared" si="11"/>
        <v>-2792</v>
      </c>
      <c r="I51" s="39" t="s">
        <v>275</v>
      </c>
      <c r="J51" s="40" t="s">
        <v>276</v>
      </c>
      <c r="K51" s="39">
        <v>-2792</v>
      </c>
      <c r="L51" s="39" t="s">
        <v>274</v>
      </c>
      <c r="M51" s="40" t="s">
        <v>105</v>
      </c>
      <c r="N51" s="40"/>
      <c r="O51" s="41" t="s">
        <v>277</v>
      </c>
      <c r="P51" s="41" t="s">
        <v>45</v>
      </c>
    </row>
    <row r="52" spans="1:16" ht="12.75" customHeight="1" x14ac:dyDescent="0.2">
      <c r="A52" s="30" t="str">
        <f t="shared" si="6"/>
        <v> AA 27.156 </v>
      </c>
      <c r="B52" s="4" t="str">
        <f t="shared" si="7"/>
        <v>I</v>
      </c>
      <c r="C52" s="30">
        <f t="shared" si="8"/>
        <v>27811.363000000001</v>
      </c>
      <c r="D52" t="str">
        <f t="shared" si="9"/>
        <v>vis</v>
      </c>
      <c r="E52">
        <f>VLOOKUP(C52,Active!C$21:E$971,3,FALSE)</f>
        <v>-2432.9995073249497</v>
      </c>
      <c r="F52" s="4" t="s">
        <v>101</v>
      </c>
      <c r="G52" t="str">
        <f t="shared" si="10"/>
        <v>27811.363</v>
      </c>
      <c r="H52" s="30">
        <f t="shared" si="11"/>
        <v>-2433</v>
      </c>
      <c r="I52" s="39" t="s">
        <v>278</v>
      </c>
      <c r="J52" s="40" t="s">
        <v>279</v>
      </c>
      <c r="K52" s="39">
        <v>-2433</v>
      </c>
      <c r="L52" s="39" t="s">
        <v>271</v>
      </c>
      <c r="M52" s="40" t="s">
        <v>105</v>
      </c>
      <c r="N52" s="40"/>
      <c r="O52" s="41" t="s">
        <v>106</v>
      </c>
      <c r="P52" s="41" t="s">
        <v>45</v>
      </c>
    </row>
    <row r="53" spans="1:16" ht="12.75" customHeight="1" x14ac:dyDescent="0.2">
      <c r="A53" s="30" t="str">
        <f t="shared" si="6"/>
        <v> AA 27.156 </v>
      </c>
      <c r="B53" s="4" t="str">
        <f t="shared" si="7"/>
        <v>I</v>
      </c>
      <c r="C53" s="30">
        <f t="shared" si="8"/>
        <v>28548.253000000001</v>
      </c>
      <c r="D53" t="str">
        <f t="shared" si="9"/>
        <v>vis</v>
      </c>
      <c r="E53">
        <f>VLOOKUP(C53,Active!C$21:E$971,3,FALSE)</f>
        <v>-2025.99578906438</v>
      </c>
      <c r="F53" s="4" t="s">
        <v>101</v>
      </c>
      <c r="G53" t="str">
        <f t="shared" si="10"/>
        <v>28548.253</v>
      </c>
      <c r="H53" s="30">
        <f t="shared" si="11"/>
        <v>-2026</v>
      </c>
      <c r="I53" s="39" t="s">
        <v>280</v>
      </c>
      <c r="J53" s="40" t="s">
        <v>281</v>
      </c>
      <c r="K53" s="39">
        <v>-2026</v>
      </c>
      <c r="L53" s="39" t="s">
        <v>282</v>
      </c>
      <c r="M53" s="40" t="s">
        <v>105</v>
      </c>
      <c r="N53" s="40"/>
      <c r="O53" s="41" t="s">
        <v>106</v>
      </c>
      <c r="P53" s="41" t="s">
        <v>45</v>
      </c>
    </row>
    <row r="54" spans="1:16" ht="12.75" customHeight="1" x14ac:dyDescent="0.2">
      <c r="A54" s="30" t="str">
        <f t="shared" si="6"/>
        <v> AA 27.156 </v>
      </c>
      <c r="B54" s="4" t="str">
        <f t="shared" si="7"/>
        <v>I</v>
      </c>
      <c r="C54" s="30">
        <f t="shared" si="8"/>
        <v>28812.592000000001</v>
      </c>
      <c r="D54" t="str">
        <f t="shared" si="9"/>
        <v>vis</v>
      </c>
      <c r="E54">
        <f>VLOOKUP(C54,Active!C$21:E$971,3,FALSE)</f>
        <v>-1879.9944104579656</v>
      </c>
      <c r="F54" s="4" t="s">
        <v>101</v>
      </c>
      <c r="G54" t="str">
        <f t="shared" si="10"/>
        <v>28812.592</v>
      </c>
      <c r="H54" s="30">
        <f t="shared" si="11"/>
        <v>-1880</v>
      </c>
      <c r="I54" s="39" t="s">
        <v>283</v>
      </c>
      <c r="J54" s="40" t="s">
        <v>284</v>
      </c>
      <c r="K54" s="39">
        <v>-1880</v>
      </c>
      <c r="L54" s="39" t="s">
        <v>285</v>
      </c>
      <c r="M54" s="40" t="s">
        <v>105</v>
      </c>
      <c r="N54" s="40"/>
      <c r="O54" s="41" t="s">
        <v>106</v>
      </c>
      <c r="P54" s="41" t="s">
        <v>45</v>
      </c>
    </row>
    <row r="55" spans="1:16" ht="12.75" customHeight="1" x14ac:dyDescent="0.2">
      <c r="A55" s="30" t="str">
        <f t="shared" si="6"/>
        <v> AA 27.156 </v>
      </c>
      <c r="B55" s="4" t="str">
        <f t="shared" si="7"/>
        <v>I</v>
      </c>
      <c r="C55" s="30">
        <f t="shared" si="8"/>
        <v>30793.297999999999</v>
      </c>
      <c r="D55" t="str">
        <f t="shared" si="9"/>
        <v>vis</v>
      </c>
      <c r="E55">
        <f>VLOOKUP(C55,Active!C$21:E$971,3,FALSE)</f>
        <v>-785.99841813751129</v>
      </c>
      <c r="F55" s="4" t="s">
        <v>101</v>
      </c>
      <c r="G55" t="str">
        <f t="shared" si="10"/>
        <v>30793.298</v>
      </c>
      <c r="H55" s="30">
        <f t="shared" si="11"/>
        <v>-786</v>
      </c>
      <c r="I55" s="39" t="s">
        <v>286</v>
      </c>
      <c r="J55" s="40" t="s">
        <v>287</v>
      </c>
      <c r="K55" s="39">
        <v>-786</v>
      </c>
      <c r="L55" s="39" t="s">
        <v>288</v>
      </c>
      <c r="M55" s="40" t="s">
        <v>105</v>
      </c>
      <c r="N55" s="40"/>
      <c r="O55" s="41" t="s">
        <v>106</v>
      </c>
      <c r="P55" s="41" t="s">
        <v>45</v>
      </c>
    </row>
    <row r="56" spans="1:16" ht="12.75" customHeight="1" x14ac:dyDescent="0.2">
      <c r="A56" s="30" t="str">
        <f t="shared" si="6"/>
        <v> HA 113.75 </v>
      </c>
      <c r="B56" s="4" t="str">
        <f t="shared" si="7"/>
        <v>I</v>
      </c>
      <c r="C56" s="30">
        <f t="shared" si="8"/>
        <v>31075.72</v>
      </c>
      <c r="D56" t="str">
        <f t="shared" si="9"/>
        <v>vis</v>
      </c>
      <c r="E56">
        <f>VLOOKUP(C56,Active!C$21:E$971,3,FALSE)</f>
        <v>-630.0093232677375</v>
      </c>
      <c r="F56" s="4" t="s">
        <v>101</v>
      </c>
      <c r="G56" t="str">
        <f t="shared" si="10"/>
        <v>31075.720</v>
      </c>
      <c r="H56" s="30">
        <f t="shared" si="11"/>
        <v>-630</v>
      </c>
      <c r="I56" s="39" t="s">
        <v>289</v>
      </c>
      <c r="J56" s="40" t="s">
        <v>290</v>
      </c>
      <c r="K56" s="39">
        <v>-630</v>
      </c>
      <c r="L56" s="39" t="s">
        <v>291</v>
      </c>
      <c r="M56" s="40" t="s">
        <v>111</v>
      </c>
      <c r="N56" s="40"/>
      <c r="O56" s="41" t="s">
        <v>292</v>
      </c>
      <c r="P56" s="41" t="s">
        <v>48</v>
      </c>
    </row>
    <row r="57" spans="1:16" ht="12.75" customHeight="1" x14ac:dyDescent="0.2">
      <c r="A57" s="30" t="str">
        <f t="shared" si="6"/>
        <v> AA 27.156 </v>
      </c>
      <c r="B57" s="4" t="str">
        <f t="shared" si="7"/>
        <v>I</v>
      </c>
      <c r="C57" s="30">
        <f t="shared" si="8"/>
        <v>31146.35</v>
      </c>
      <c r="D57" t="str">
        <f t="shared" si="9"/>
        <v>vis</v>
      </c>
      <c r="E57">
        <f>VLOOKUP(C57,Active!C$21:E$971,3,FALSE)</f>
        <v>-590.99851755624331</v>
      </c>
      <c r="F57" s="4" t="s">
        <v>101</v>
      </c>
      <c r="G57" t="str">
        <f t="shared" si="10"/>
        <v>31146.350</v>
      </c>
      <c r="H57" s="30">
        <f t="shared" si="11"/>
        <v>-591</v>
      </c>
      <c r="I57" s="39" t="s">
        <v>293</v>
      </c>
      <c r="J57" s="40" t="s">
        <v>294</v>
      </c>
      <c r="K57" s="39">
        <v>-591</v>
      </c>
      <c r="L57" s="39" t="s">
        <v>288</v>
      </c>
      <c r="M57" s="40" t="s">
        <v>105</v>
      </c>
      <c r="N57" s="40"/>
      <c r="O57" s="41" t="s">
        <v>106</v>
      </c>
      <c r="P57" s="41" t="s">
        <v>45</v>
      </c>
    </row>
    <row r="58" spans="1:16" ht="12.75" customHeight="1" x14ac:dyDescent="0.2">
      <c r="A58" s="30" t="str">
        <f t="shared" si="6"/>
        <v> AA 27.156 </v>
      </c>
      <c r="B58" s="4" t="str">
        <f t="shared" si="7"/>
        <v>I</v>
      </c>
      <c r="C58" s="30">
        <f t="shared" si="8"/>
        <v>32609.241999999998</v>
      </c>
      <c r="D58" t="str">
        <f t="shared" si="9"/>
        <v>vis</v>
      </c>
      <c r="E58">
        <f>VLOOKUP(C58,Active!C$21:E$971,3,FALSE)</f>
        <v>216.99519034268533</v>
      </c>
      <c r="F58" s="4" t="s">
        <v>101</v>
      </c>
      <c r="G58" t="str">
        <f t="shared" si="10"/>
        <v>32609.242</v>
      </c>
      <c r="H58" s="30">
        <f t="shared" si="11"/>
        <v>217</v>
      </c>
      <c r="I58" s="39" t="s">
        <v>295</v>
      </c>
      <c r="J58" s="40" t="s">
        <v>296</v>
      </c>
      <c r="K58" s="39">
        <v>217</v>
      </c>
      <c r="L58" s="39" t="s">
        <v>297</v>
      </c>
      <c r="M58" s="40" t="s">
        <v>105</v>
      </c>
      <c r="N58" s="40"/>
      <c r="O58" s="41" t="s">
        <v>298</v>
      </c>
      <c r="P58" s="41" t="s">
        <v>45</v>
      </c>
    </row>
    <row r="59" spans="1:16" ht="12.75" customHeight="1" x14ac:dyDescent="0.2">
      <c r="A59" s="30" t="str">
        <f t="shared" si="6"/>
        <v> AAC 5.77 </v>
      </c>
      <c r="B59" s="4" t="str">
        <f t="shared" si="7"/>
        <v>I</v>
      </c>
      <c r="C59" s="30">
        <f t="shared" si="8"/>
        <v>33688.313999999998</v>
      </c>
      <c r="D59" t="str">
        <f t="shared" si="9"/>
        <v>vis</v>
      </c>
      <c r="E59">
        <f>VLOOKUP(C59,Active!C$21:E$971,3,FALSE)</f>
        <v>812.99502243549387</v>
      </c>
      <c r="F59" s="4" t="s">
        <v>101</v>
      </c>
      <c r="G59" t="str">
        <f t="shared" si="10"/>
        <v>33688.314</v>
      </c>
      <c r="H59" s="30">
        <f t="shared" si="11"/>
        <v>813</v>
      </c>
      <c r="I59" s="39" t="s">
        <v>299</v>
      </c>
      <c r="J59" s="40" t="s">
        <v>300</v>
      </c>
      <c r="K59" s="39">
        <v>813</v>
      </c>
      <c r="L59" s="39" t="s">
        <v>297</v>
      </c>
      <c r="M59" s="40" t="s">
        <v>105</v>
      </c>
      <c r="N59" s="40"/>
      <c r="O59" s="41" t="s">
        <v>298</v>
      </c>
      <c r="P59" s="41" t="s">
        <v>50</v>
      </c>
    </row>
    <row r="60" spans="1:16" ht="12.75" customHeight="1" x14ac:dyDescent="0.2">
      <c r="A60" s="30" t="str">
        <f t="shared" si="6"/>
        <v>VSB 47 </v>
      </c>
      <c r="B60" s="4" t="str">
        <f t="shared" si="7"/>
        <v>I</v>
      </c>
      <c r="C60" s="30">
        <f t="shared" si="8"/>
        <v>51158.082999999999</v>
      </c>
      <c r="D60" t="str">
        <f t="shared" si="9"/>
        <v>vis</v>
      </c>
      <c r="E60">
        <f>VLOOKUP(C60,Active!C$21:E$971,3,FALSE)</f>
        <v>10462.007683963317</v>
      </c>
      <c r="F60" s="4" t="s">
        <v>101</v>
      </c>
      <c r="G60" t="str">
        <f t="shared" si="10"/>
        <v>51158.083</v>
      </c>
      <c r="H60" s="30">
        <f t="shared" si="11"/>
        <v>10462</v>
      </c>
      <c r="I60" s="39" t="s">
        <v>301</v>
      </c>
      <c r="J60" s="40" t="s">
        <v>302</v>
      </c>
      <c r="K60" s="39">
        <v>10462</v>
      </c>
      <c r="L60" s="39" t="s">
        <v>303</v>
      </c>
      <c r="M60" s="40" t="s">
        <v>223</v>
      </c>
      <c r="N60" s="40" t="s">
        <v>101</v>
      </c>
      <c r="O60" s="41" t="s">
        <v>304</v>
      </c>
      <c r="P60" s="42" t="s">
        <v>91</v>
      </c>
    </row>
    <row r="61" spans="1:16" ht="12.75" customHeight="1" x14ac:dyDescent="0.2">
      <c r="A61" s="30" t="str">
        <f t="shared" si="6"/>
        <v>VSB 48 </v>
      </c>
      <c r="B61" s="4" t="str">
        <f t="shared" si="7"/>
        <v>I</v>
      </c>
      <c r="C61" s="30">
        <f t="shared" si="8"/>
        <v>54503.946799999998</v>
      </c>
      <c r="D61" t="str">
        <f t="shared" si="9"/>
        <v>vis</v>
      </c>
      <c r="E61">
        <f>VLOOKUP(C61,Active!C$21:E$971,3,FALSE)</f>
        <v>12310.016216299811</v>
      </c>
      <c r="F61" s="4" t="s">
        <v>101</v>
      </c>
      <c r="G61" t="str">
        <f t="shared" si="10"/>
        <v>54503.9468</v>
      </c>
      <c r="H61" s="30">
        <f t="shared" si="11"/>
        <v>12310</v>
      </c>
      <c r="I61" s="39" t="s">
        <v>305</v>
      </c>
      <c r="J61" s="40" t="s">
        <v>306</v>
      </c>
      <c r="K61" s="39">
        <v>12310</v>
      </c>
      <c r="L61" s="39" t="s">
        <v>307</v>
      </c>
      <c r="M61" s="40" t="s">
        <v>223</v>
      </c>
      <c r="N61" s="40" t="s">
        <v>308</v>
      </c>
      <c r="O61" s="41" t="s">
        <v>309</v>
      </c>
      <c r="P61" s="42" t="s">
        <v>92</v>
      </c>
    </row>
    <row r="62" spans="1:16" ht="12.75" customHeight="1" x14ac:dyDescent="0.2">
      <c r="A62" s="30" t="str">
        <f t="shared" si="6"/>
        <v>OEJV 0137 </v>
      </c>
      <c r="B62" s="4" t="str">
        <f t="shared" si="7"/>
        <v>I</v>
      </c>
      <c r="C62" s="30">
        <f t="shared" si="8"/>
        <v>55628.289700000001</v>
      </c>
      <c r="D62" t="str">
        <f t="shared" si="9"/>
        <v>vis</v>
      </c>
      <c r="E62" t="e">
        <f>VLOOKUP(C62,Active!C$21:E$971,3,FALSE)</f>
        <v>#N/A</v>
      </c>
      <c r="F62" s="4" t="s">
        <v>101</v>
      </c>
      <c r="G62" t="str">
        <f t="shared" si="10"/>
        <v>55628.2897</v>
      </c>
      <c r="H62" s="30">
        <f t="shared" si="11"/>
        <v>12931</v>
      </c>
      <c r="I62" s="39" t="s">
        <v>310</v>
      </c>
      <c r="J62" s="40" t="s">
        <v>311</v>
      </c>
      <c r="K62" s="39">
        <v>12931</v>
      </c>
      <c r="L62" s="39" t="s">
        <v>312</v>
      </c>
      <c r="M62" s="40" t="s">
        <v>223</v>
      </c>
      <c r="N62" s="40" t="s">
        <v>313</v>
      </c>
      <c r="O62" s="41" t="s">
        <v>224</v>
      </c>
      <c r="P62" s="42" t="s">
        <v>314</v>
      </c>
    </row>
    <row r="63" spans="1:16" ht="12.75" customHeight="1" x14ac:dyDescent="0.2">
      <c r="A63" s="30" t="str">
        <f t="shared" si="6"/>
        <v>OEJV 0137 </v>
      </c>
      <c r="B63" s="4" t="str">
        <f t="shared" si="7"/>
        <v>I</v>
      </c>
      <c r="C63" s="30">
        <f t="shared" si="8"/>
        <v>55628.2912</v>
      </c>
      <c r="D63" t="str">
        <f t="shared" si="9"/>
        <v>vis</v>
      </c>
      <c r="E63" t="e">
        <f>VLOOKUP(C63,Active!C$21:E$971,3,FALSE)</f>
        <v>#N/A</v>
      </c>
      <c r="F63" s="4" t="s">
        <v>101</v>
      </c>
      <c r="G63" t="str">
        <f t="shared" si="10"/>
        <v>55628.2912</v>
      </c>
      <c r="H63" s="30">
        <f t="shared" si="11"/>
        <v>12931</v>
      </c>
      <c r="I63" s="39" t="s">
        <v>315</v>
      </c>
      <c r="J63" s="40" t="s">
        <v>316</v>
      </c>
      <c r="K63" s="39">
        <v>12931</v>
      </c>
      <c r="L63" s="39" t="s">
        <v>317</v>
      </c>
      <c r="M63" s="40" t="s">
        <v>223</v>
      </c>
      <c r="N63" s="40" t="s">
        <v>101</v>
      </c>
      <c r="O63" s="41" t="s">
        <v>224</v>
      </c>
      <c r="P63" s="42" t="s">
        <v>314</v>
      </c>
    </row>
    <row r="64" spans="1:16" ht="12.75" customHeight="1" x14ac:dyDescent="0.2">
      <c r="A64" s="30" t="str">
        <f t="shared" si="6"/>
        <v>VSB 56 </v>
      </c>
      <c r="B64" s="4" t="str">
        <f t="shared" si="7"/>
        <v>I</v>
      </c>
      <c r="C64" s="30">
        <f t="shared" si="8"/>
        <v>56299.9712</v>
      </c>
      <c r="D64" t="str">
        <f t="shared" si="9"/>
        <v>vis</v>
      </c>
      <c r="E64">
        <f>VLOOKUP(C64,Active!C$21:E$971,3,FALSE)</f>
        <v>13302.007706056369</v>
      </c>
      <c r="F64" s="4" t="s">
        <v>101</v>
      </c>
      <c r="G64" t="str">
        <f t="shared" si="10"/>
        <v>56299.9712</v>
      </c>
      <c r="H64" s="30">
        <f t="shared" si="11"/>
        <v>13302</v>
      </c>
      <c r="I64" s="39" t="s">
        <v>318</v>
      </c>
      <c r="J64" s="40" t="s">
        <v>319</v>
      </c>
      <c r="K64" s="39">
        <v>13302</v>
      </c>
      <c r="L64" s="39" t="s">
        <v>320</v>
      </c>
      <c r="M64" s="40" t="s">
        <v>223</v>
      </c>
      <c r="N64" s="40" t="s">
        <v>101</v>
      </c>
      <c r="O64" s="41" t="s">
        <v>321</v>
      </c>
      <c r="P64" s="42" t="s">
        <v>93</v>
      </c>
    </row>
    <row r="65" spans="1:16" ht="12.75" customHeight="1" x14ac:dyDescent="0.2">
      <c r="A65" s="30" t="str">
        <f t="shared" si="6"/>
        <v>VSB 56 </v>
      </c>
      <c r="B65" s="4" t="str">
        <f t="shared" si="7"/>
        <v>I</v>
      </c>
      <c r="C65" s="30">
        <f t="shared" si="8"/>
        <v>56299.987500000003</v>
      </c>
      <c r="D65" t="str">
        <f t="shared" si="9"/>
        <v>vis</v>
      </c>
      <c r="E65">
        <f>VLOOKUP(C65,Active!C$21:E$971,3,FALSE)</f>
        <v>13302.016708974863</v>
      </c>
      <c r="F65" s="4" t="s">
        <v>101</v>
      </c>
      <c r="G65" t="str">
        <f t="shared" si="10"/>
        <v>56299.9875</v>
      </c>
      <c r="H65" s="30">
        <f t="shared" si="11"/>
        <v>13302</v>
      </c>
      <c r="I65" s="39" t="s">
        <v>322</v>
      </c>
      <c r="J65" s="40" t="s">
        <v>323</v>
      </c>
      <c r="K65" s="39">
        <v>13302</v>
      </c>
      <c r="L65" s="39" t="s">
        <v>324</v>
      </c>
      <c r="M65" s="40" t="s">
        <v>223</v>
      </c>
      <c r="N65" s="40" t="s">
        <v>308</v>
      </c>
      <c r="O65" s="41" t="s">
        <v>321</v>
      </c>
      <c r="P65" s="42" t="s">
        <v>93</v>
      </c>
    </row>
    <row r="66" spans="1:16" ht="12.75" customHeight="1" x14ac:dyDescent="0.2">
      <c r="A66" s="30" t="str">
        <f t="shared" si="6"/>
        <v>VSB 56 </v>
      </c>
      <c r="B66" s="4" t="str">
        <f t="shared" si="7"/>
        <v>I</v>
      </c>
      <c r="C66" s="30">
        <f t="shared" si="8"/>
        <v>56299.989500000003</v>
      </c>
      <c r="D66" t="str">
        <f t="shared" si="9"/>
        <v>vis</v>
      </c>
      <c r="E66">
        <f>VLOOKUP(C66,Active!C$21:E$971,3,FALSE)</f>
        <v>13302.017813627439</v>
      </c>
      <c r="F66" s="4" t="s">
        <v>101</v>
      </c>
      <c r="G66" t="str">
        <f t="shared" si="10"/>
        <v>56299.9895</v>
      </c>
      <c r="H66" s="30">
        <f t="shared" si="11"/>
        <v>13302</v>
      </c>
      <c r="I66" s="39" t="s">
        <v>325</v>
      </c>
      <c r="J66" s="40" t="s">
        <v>326</v>
      </c>
      <c r="K66" s="39">
        <v>13302</v>
      </c>
      <c r="L66" s="39" t="s">
        <v>236</v>
      </c>
      <c r="M66" s="40" t="s">
        <v>223</v>
      </c>
      <c r="N66" s="40" t="s">
        <v>58</v>
      </c>
      <c r="O66" s="41" t="s">
        <v>321</v>
      </c>
      <c r="P66" s="42" t="s">
        <v>93</v>
      </c>
    </row>
  </sheetData>
  <sheetProtection selectLockedCells="1" selectUnlockedCells="1"/>
  <hyperlinks>
    <hyperlink ref="P16" r:id="rId1"/>
    <hyperlink ref="P18" r:id="rId2"/>
    <hyperlink ref="P21" r:id="rId3"/>
    <hyperlink ref="P22" r:id="rId4"/>
    <hyperlink ref="P26" r:id="rId5"/>
    <hyperlink ref="P27" r:id="rId6"/>
    <hyperlink ref="P35" r:id="rId7"/>
    <hyperlink ref="P36" r:id="rId8"/>
    <hyperlink ref="P37" r:id="rId9"/>
    <hyperlink ref="P38" r:id="rId10"/>
    <hyperlink ref="P39" r:id="rId11"/>
    <hyperlink ref="P40" r:id="rId12"/>
    <hyperlink ref="P41" r:id="rId13"/>
    <hyperlink ref="P42" r:id="rId14"/>
    <hyperlink ref="P43" r:id="rId15"/>
    <hyperlink ref="P44" r:id="rId16"/>
    <hyperlink ref="P45" r:id="rId17"/>
    <hyperlink ref="P46" r:id="rId18"/>
    <hyperlink ref="P47" r:id="rId19"/>
    <hyperlink ref="P60" r:id="rId20"/>
    <hyperlink ref="P61" r:id="rId21"/>
    <hyperlink ref="P62" r:id="rId22"/>
    <hyperlink ref="P63" r:id="rId23"/>
    <hyperlink ref="P64" r:id="rId24"/>
    <hyperlink ref="P65" r:id="rId25"/>
    <hyperlink ref="P66" r:id="rId2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2024-02-28T06:08:08Z</dcterms:created>
  <dcterms:modified xsi:type="dcterms:W3CDTF">2024-02-28T06:08:08Z</dcterms:modified>
</cp:coreProperties>
</file>