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21B55B4-E8E7-470E-825A-442C38FCC8A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K81" i="1" l="1"/>
  <c r="J77" i="1"/>
  <c r="G15" i="1"/>
  <c r="G16" i="1" s="1"/>
  <c r="Q85" i="1"/>
  <c r="Q83" i="1"/>
  <c r="Q77" i="1"/>
  <c r="Q25" i="1"/>
  <c r="G75" i="2"/>
  <c r="C75" i="2"/>
  <c r="G74" i="2"/>
  <c r="C74" i="2"/>
  <c r="G73" i="2"/>
  <c r="C73" i="2"/>
  <c r="G72" i="2"/>
  <c r="C72" i="2"/>
  <c r="G71" i="2"/>
  <c r="C71" i="2"/>
  <c r="G70" i="2"/>
  <c r="C70" i="2"/>
  <c r="G79" i="2"/>
  <c r="C79" i="2"/>
  <c r="G69" i="2"/>
  <c r="C69" i="2"/>
  <c r="G78" i="2"/>
  <c r="C78" i="2"/>
  <c r="G68" i="2"/>
  <c r="C68" i="2"/>
  <c r="G67" i="2"/>
  <c r="C67" i="2"/>
  <c r="G66" i="2"/>
  <c r="C66" i="2"/>
  <c r="G65" i="2"/>
  <c r="C65" i="2"/>
  <c r="G64" i="2"/>
  <c r="C64" i="2"/>
  <c r="G77" i="2"/>
  <c r="C77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76" i="2"/>
  <c r="C76" i="2"/>
  <c r="G14" i="2"/>
  <c r="C14" i="2"/>
  <c r="G13" i="2"/>
  <c r="C13" i="2"/>
  <c r="G12" i="2"/>
  <c r="C12" i="2"/>
  <c r="G11" i="2"/>
  <c r="C11" i="2"/>
  <c r="H75" i="2"/>
  <c r="B75" i="2"/>
  <c r="F75" i="2"/>
  <c r="D75" i="2"/>
  <c r="A75" i="2"/>
  <c r="H74" i="2"/>
  <c r="B74" i="2"/>
  <c r="F74" i="2"/>
  <c r="D74" i="2"/>
  <c r="A74" i="2"/>
  <c r="H73" i="2"/>
  <c r="D73" i="2"/>
  <c r="B73" i="2"/>
  <c r="A73" i="2"/>
  <c r="H72" i="2"/>
  <c r="B72" i="2"/>
  <c r="D72" i="2"/>
  <c r="A72" i="2"/>
  <c r="H71" i="2"/>
  <c r="D71" i="2"/>
  <c r="B71" i="2"/>
  <c r="A71" i="2"/>
  <c r="H70" i="2"/>
  <c r="B70" i="2"/>
  <c r="D70" i="2"/>
  <c r="A70" i="2"/>
  <c r="H79" i="2"/>
  <c r="D79" i="2"/>
  <c r="B79" i="2"/>
  <c r="A79" i="2"/>
  <c r="H69" i="2"/>
  <c r="B69" i="2"/>
  <c r="D69" i="2"/>
  <c r="A69" i="2"/>
  <c r="H78" i="2"/>
  <c r="D78" i="2"/>
  <c r="B78" i="2"/>
  <c r="A78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D65" i="2"/>
  <c r="B65" i="2"/>
  <c r="A65" i="2"/>
  <c r="H64" i="2"/>
  <c r="B64" i="2"/>
  <c r="D64" i="2"/>
  <c r="A64" i="2"/>
  <c r="H77" i="2"/>
  <c r="D77" i="2"/>
  <c r="B77" i="2"/>
  <c r="A77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D24" i="2"/>
  <c r="B24" i="2"/>
  <c r="A24" i="2"/>
  <c r="H23" i="2"/>
  <c r="B23" i="2"/>
  <c r="D23" i="2"/>
  <c r="A23" i="2"/>
  <c r="H22" i="2"/>
  <c r="D22" i="2"/>
  <c r="B22" i="2"/>
  <c r="A22" i="2"/>
  <c r="H21" i="2"/>
  <c r="B21" i="2"/>
  <c r="D21" i="2"/>
  <c r="A21" i="2"/>
  <c r="H20" i="2"/>
  <c r="D20" i="2"/>
  <c r="B20" i="2"/>
  <c r="A20" i="2"/>
  <c r="H19" i="2"/>
  <c r="B19" i="2"/>
  <c r="D19" i="2"/>
  <c r="A19" i="2"/>
  <c r="H18" i="2"/>
  <c r="D18" i="2"/>
  <c r="B18" i="2"/>
  <c r="A18" i="2"/>
  <c r="H17" i="2"/>
  <c r="B17" i="2"/>
  <c r="D17" i="2"/>
  <c r="A17" i="2"/>
  <c r="H16" i="2"/>
  <c r="D16" i="2"/>
  <c r="B16" i="2"/>
  <c r="A16" i="2"/>
  <c r="H15" i="2"/>
  <c r="B15" i="2"/>
  <c r="D15" i="2"/>
  <c r="A15" i="2"/>
  <c r="H76" i="2"/>
  <c r="D76" i="2"/>
  <c r="B76" i="2"/>
  <c r="A76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D11" i="1"/>
  <c r="U45" i="1" s="1"/>
  <c r="D12" i="1"/>
  <c r="U46" i="1" s="1"/>
  <c r="Q90" i="1"/>
  <c r="E9" i="1"/>
  <c r="D9" i="1"/>
  <c r="Q91" i="1"/>
  <c r="Q82" i="1"/>
  <c r="Q88" i="1"/>
  <c r="Q89" i="1"/>
  <c r="Q87" i="1"/>
  <c r="Q86" i="1"/>
  <c r="D13" i="1"/>
  <c r="U35" i="1"/>
  <c r="C7" i="1"/>
  <c r="C8" i="1"/>
  <c r="Q84" i="1"/>
  <c r="C17" i="1"/>
  <c r="Q80" i="1"/>
  <c r="Q81" i="1"/>
  <c r="Q75" i="1"/>
  <c r="Q76" i="1"/>
  <c r="Q78" i="1"/>
  <c r="Q79" i="1"/>
  <c r="Q28" i="1"/>
  <c r="Q27" i="1"/>
  <c r="Q26" i="1"/>
  <c r="Q24" i="1"/>
  <c r="Q23" i="1"/>
  <c r="Q22" i="1"/>
  <c r="Q21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48" i="1"/>
  <c r="U36" i="1"/>
  <c r="U54" i="1"/>
  <c r="E75" i="1"/>
  <c r="F75" i="1"/>
  <c r="U52" i="1"/>
  <c r="E85" i="1"/>
  <c r="F85" i="1"/>
  <c r="G85" i="1"/>
  <c r="K85" i="1"/>
  <c r="E86" i="1"/>
  <c r="F86" i="1"/>
  <c r="G86" i="1"/>
  <c r="K86" i="1"/>
  <c r="E80" i="1"/>
  <c r="F80" i="1"/>
  <c r="G80" i="1"/>
  <c r="K80" i="1"/>
  <c r="E78" i="1"/>
  <c r="F78" i="1"/>
  <c r="E77" i="1"/>
  <c r="F77" i="1"/>
  <c r="E89" i="1"/>
  <c r="F89" i="1"/>
  <c r="G89" i="1"/>
  <c r="K89" i="1"/>
  <c r="E82" i="1"/>
  <c r="F82" i="1"/>
  <c r="P82" i="1"/>
  <c r="R82" i="1" s="1"/>
  <c r="E23" i="1"/>
  <c r="F23" i="1"/>
  <c r="E21" i="1"/>
  <c r="F21" i="1"/>
  <c r="G77" i="1"/>
  <c r="E87" i="1"/>
  <c r="F87" i="1"/>
  <c r="E73" i="1"/>
  <c r="F73" i="1"/>
  <c r="G73" i="1"/>
  <c r="J73" i="1"/>
  <c r="E71" i="1"/>
  <c r="F71" i="1"/>
  <c r="E69" i="1"/>
  <c r="F69" i="1"/>
  <c r="G69" i="1"/>
  <c r="J69" i="1"/>
  <c r="E67" i="1"/>
  <c r="F67" i="1"/>
  <c r="E65" i="1"/>
  <c r="F65" i="1"/>
  <c r="E63" i="1"/>
  <c r="F63" i="1"/>
  <c r="G63" i="1"/>
  <c r="I63" i="1"/>
  <c r="E61" i="1"/>
  <c r="F61" i="1"/>
  <c r="G61" i="1"/>
  <c r="I61" i="1"/>
  <c r="E59" i="1"/>
  <c r="F59" i="1"/>
  <c r="E57" i="1"/>
  <c r="F57" i="1"/>
  <c r="E55" i="1"/>
  <c r="F55" i="1"/>
  <c r="G55" i="1"/>
  <c r="I55" i="1"/>
  <c r="E53" i="1"/>
  <c r="F53" i="1"/>
  <c r="G53" i="1"/>
  <c r="I53" i="1"/>
  <c r="E51" i="1"/>
  <c r="F51" i="1"/>
  <c r="E49" i="1"/>
  <c r="F49" i="1"/>
  <c r="E47" i="1"/>
  <c r="F47" i="1"/>
  <c r="P47" i="1"/>
  <c r="R47" i="1" s="1"/>
  <c r="E45" i="1"/>
  <c r="F45" i="1"/>
  <c r="E43" i="1"/>
  <c r="F43" i="1"/>
  <c r="G43" i="1"/>
  <c r="I43" i="1"/>
  <c r="E41" i="1"/>
  <c r="F41" i="1"/>
  <c r="G41" i="1"/>
  <c r="I41" i="1"/>
  <c r="E39" i="1"/>
  <c r="F39" i="1"/>
  <c r="P39" i="1"/>
  <c r="R39" i="1" s="1"/>
  <c r="E37" i="1"/>
  <c r="F37" i="1"/>
  <c r="E35" i="1"/>
  <c r="F35" i="1"/>
  <c r="G35" i="1"/>
  <c r="I35" i="1"/>
  <c r="E33" i="1"/>
  <c r="F33" i="1"/>
  <c r="G33" i="1"/>
  <c r="I33" i="1"/>
  <c r="E31" i="1"/>
  <c r="F31" i="1"/>
  <c r="E29" i="1"/>
  <c r="F29" i="1"/>
  <c r="E27" i="1"/>
  <c r="F27" i="1"/>
  <c r="G27" i="1"/>
  <c r="I27" i="1"/>
  <c r="E83" i="1"/>
  <c r="F83" i="1"/>
  <c r="G82" i="1"/>
  <c r="K82" i="1"/>
  <c r="E90" i="1"/>
  <c r="F90" i="1"/>
  <c r="E79" i="1"/>
  <c r="F79" i="1"/>
  <c r="P79" i="1"/>
  <c r="G78" i="1"/>
  <c r="J78" i="1"/>
  <c r="E84" i="1"/>
  <c r="F84" i="1"/>
  <c r="G87" i="1"/>
  <c r="K87" i="1"/>
  <c r="E25" i="1"/>
  <c r="F25" i="1"/>
  <c r="G25" i="1"/>
  <c r="I25" i="1"/>
  <c r="G83" i="1"/>
  <c r="K83" i="1"/>
  <c r="E88" i="1"/>
  <c r="F88" i="1"/>
  <c r="G88" i="1"/>
  <c r="K88" i="1"/>
  <c r="G90" i="1"/>
  <c r="K90" i="1"/>
  <c r="E24" i="1"/>
  <c r="F24" i="1"/>
  <c r="G24" i="1"/>
  <c r="I24" i="1"/>
  <c r="E22" i="1"/>
  <c r="F22" i="1"/>
  <c r="P22" i="1"/>
  <c r="R22" i="1" s="1"/>
  <c r="G67" i="1"/>
  <c r="J67" i="1"/>
  <c r="G71" i="1"/>
  <c r="J71" i="1"/>
  <c r="E81" i="1"/>
  <c r="F81" i="1"/>
  <c r="P81" i="1"/>
  <c r="R81" i="1" s="1"/>
  <c r="E91" i="1"/>
  <c r="F91" i="1"/>
  <c r="G91" i="1"/>
  <c r="K91" i="1"/>
  <c r="E74" i="1"/>
  <c r="F74" i="1"/>
  <c r="E72" i="1"/>
  <c r="F72" i="1"/>
  <c r="E70" i="1"/>
  <c r="F70" i="1"/>
  <c r="E68" i="1"/>
  <c r="F68" i="1"/>
  <c r="G68" i="1"/>
  <c r="J68" i="1"/>
  <c r="E66" i="1"/>
  <c r="F66" i="1"/>
  <c r="E64" i="1"/>
  <c r="F64" i="1"/>
  <c r="G64" i="1"/>
  <c r="J64" i="1"/>
  <c r="E62" i="1"/>
  <c r="F62" i="1"/>
  <c r="E60" i="1"/>
  <c r="F60" i="1"/>
  <c r="G60" i="1"/>
  <c r="I60" i="1"/>
  <c r="E58" i="1"/>
  <c r="F58" i="1"/>
  <c r="E56" i="1"/>
  <c r="F56" i="1"/>
  <c r="E54" i="1"/>
  <c r="F54" i="1"/>
  <c r="E52" i="1"/>
  <c r="F52" i="1"/>
  <c r="G52" i="1"/>
  <c r="I52" i="1"/>
  <c r="E50" i="1"/>
  <c r="F50" i="1"/>
  <c r="E48" i="1"/>
  <c r="F48" i="1"/>
  <c r="E46" i="1"/>
  <c r="F46" i="1"/>
  <c r="G46" i="1"/>
  <c r="I46" i="1"/>
  <c r="E44" i="1"/>
  <c r="F44" i="1"/>
  <c r="E42" i="1"/>
  <c r="F42" i="1"/>
  <c r="E40" i="1"/>
  <c r="F40" i="1"/>
  <c r="E38" i="1"/>
  <c r="F38" i="1"/>
  <c r="G38" i="1"/>
  <c r="I38" i="1"/>
  <c r="E36" i="1"/>
  <c r="F36" i="1"/>
  <c r="P36" i="1"/>
  <c r="R36" i="1" s="1"/>
  <c r="E34" i="1"/>
  <c r="F34" i="1"/>
  <c r="E32" i="1"/>
  <c r="F32" i="1"/>
  <c r="E30" i="1"/>
  <c r="F30" i="1"/>
  <c r="G30" i="1"/>
  <c r="I30" i="1"/>
  <c r="E28" i="1"/>
  <c r="F28" i="1"/>
  <c r="E26" i="1"/>
  <c r="F26" i="1"/>
  <c r="U33" i="1"/>
  <c r="P88" i="1"/>
  <c r="R88" i="1" s="1"/>
  <c r="E14" i="2"/>
  <c r="E20" i="2"/>
  <c r="E28" i="2"/>
  <c r="E36" i="2"/>
  <c r="E44" i="2"/>
  <c r="E52" i="2"/>
  <c r="E77" i="2"/>
  <c r="E79" i="2"/>
  <c r="E75" i="2"/>
  <c r="E18" i="2"/>
  <c r="P87" i="1"/>
  <c r="R87" i="1" s="1"/>
  <c r="P43" i="1"/>
  <c r="R43" i="1" s="1"/>
  <c r="G40" i="1"/>
  <c r="I40" i="1"/>
  <c r="G32" i="1"/>
  <c r="I32" i="1"/>
  <c r="P27" i="1"/>
  <c r="R27" i="1" s="1"/>
  <c r="G23" i="1"/>
  <c r="I23" i="1"/>
  <c r="G59" i="1"/>
  <c r="I59" i="1"/>
  <c r="G51" i="1"/>
  <c r="I51" i="1"/>
  <c r="U21" i="1"/>
  <c r="R21" i="1" s="1"/>
  <c r="G72" i="1"/>
  <c r="J72" i="1"/>
  <c r="E21" i="2"/>
  <c r="E29" i="2"/>
  <c r="E37" i="2"/>
  <c r="E45" i="2"/>
  <c r="E53" i="2"/>
  <c r="E59" i="2"/>
  <c r="E64" i="2"/>
  <c r="E34" i="2"/>
  <c r="P30" i="1"/>
  <c r="R30" i="1" s="1"/>
  <c r="G45" i="1"/>
  <c r="I45" i="1"/>
  <c r="G37" i="1"/>
  <c r="I37" i="1"/>
  <c r="P32" i="1"/>
  <c r="R32" i="1" s="1"/>
  <c r="G29" i="1"/>
  <c r="I29" i="1"/>
  <c r="G58" i="1"/>
  <c r="I58" i="1"/>
  <c r="G50" i="1"/>
  <c r="I50" i="1"/>
  <c r="U41" i="1"/>
  <c r="E11" i="2"/>
  <c r="E76" i="2"/>
  <c r="E22" i="2"/>
  <c r="E30" i="2"/>
  <c r="E38" i="2"/>
  <c r="E46" i="2"/>
  <c r="E54" i="2"/>
  <c r="E60" i="2"/>
  <c r="E65" i="2"/>
  <c r="E70" i="2"/>
  <c r="E78" i="2"/>
  <c r="P45" i="1"/>
  <c r="R45" i="1" s="1"/>
  <c r="G42" i="1"/>
  <c r="I42" i="1"/>
  <c r="G34" i="1"/>
  <c r="I34" i="1"/>
  <c r="P29" i="1"/>
  <c r="R29" i="1" s="1"/>
  <c r="G26" i="1"/>
  <c r="I26" i="1"/>
  <c r="G57" i="1"/>
  <c r="I57" i="1"/>
  <c r="G49" i="1"/>
  <c r="I49" i="1"/>
  <c r="E76" i="1"/>
  <c r="F76" i="1"/>
  <c r="P76" i="1"/>
  <c r="R76" i="1" s="1"/>
  <c r="G65" i="1"/>
  <c r="J65" i="1"/>
  <c r="E15" i="2"/>
  <c r="E23" i="2"/>
  <c r="E31" i="2"/>
  <c r="E39" i="2"/>
  <c r="E47" i="2"/>
  <c r="E55" i="2"/>
  <c r="E66" i="2"/>
  <c r="E57" i="2"/>
  <c r="U24" i="1"/>
  <c r="G47" i="1"/>
  <c r="I47" i="1"/>
  <c r="P42" i="1"/>
  <c r="R42" i="1" s="1"/>
  <c r="G39" i="1"/>
  <c r="I39" i="1"/>
  <c r="G31" i="1"/>
  <c r="I31" i="1"/>
  <c r="P26" i="1"/>
  <c r="R26" i="1" s="1"/>
  <c r="G22" i="1"/>
  <c r="I22" i="1"/>
  <c r="G56" i="1"/>
  <c r="I56" i="1"/>
  <c r="G48" i="1"/>
  <c r="H48" i="1"/>
  <c r="U37" i="1"/>
  <c r="U55" i="1"/>
  <c r="U47" i="1"/>
  <c r="G75" i="1"/>
  <c r="J75" i="1"/>
  <c r="E12" i="2"/>
  <c r="E16" i="2"/>
  <c r="E24" i="2"/>
  <c r="E32" i="2"/>
  <c r="E40" i="2"/>
  <c r="E48" i="2"/>
  <c r="E56" i="2"/>
  <c r="E61" i="2"/>
  <c r="E67" i="2"/>
  <c r="E71" i="2"/>
  <c r="P83" i="1"/>
  <c r="R83" i="1" s="1"/>
  <c r="P77" i="1"/>
  <c r="R77" i="1" s="1"/>
  <c r="G74" i="1"/>
  <c r="J74" i="1"/>
  <c r="E43" i="2"/>
  <c r="P24" i="1"/>
  <c r="R24" i="1" s="1"/>
  <c r="E13" i="2"/>
  <c r="E17" i="2"/>
  <c r="G44" i="1"/>
  <c r="I44" i="1"/>
  <c r="G76" i="1"/>
  <c r="J76" i="1"/>
  <c r="G70" i="1"/>
  <c r="J70" i="1"/>
  <c r="G81" i="1"/>
  <c r="P61" i="1"/>
  <c r="R61" i="1" s="1"/>
  <c r="E35" i="2"/>
  <c r="E72" i="2"/>
  <c r="G84" i="1"/>
  <c r="K84" i="1"/>
  <c r="G66" i="1"/>
  <c r="J66" i="1"/>
  <c r="E42" i="2"/>
  <c r="E27" i="2"/>
  <c r="G62" i="1"/>
  <c r="I62" i="1"/>
  <c r="E68" i="2"/>
  <c r="P80" i="1"/>
  <c r="R80" i="1" s="1"/>
  <c r="P46" i="1"/>
  <c r="R46" i="1" s="1"/>
  <c r="E74" i="2"/>
  <c r="E19" i="2"/>
  <c r="E62" i="2"/>
  <c r="P73" i="1"/>
  <c r="R73" i="1" s="1"/>
  <c r="G79" i="1"/>
  <c r="J79" i="1"/>
  <c r="E69" i="2"/>
  <c r="P41" i="1"/>
  <c r="R41" i="1" s="1"/>
  <c r="E49" i="2"/>
  <c r="G28" i="1"/>
  <c r="I28" i="1"/>
  <c r="E50" i="2"/>
  <c r="E63" i="2"/>
  <c r="E41" i="2"/>
  <c r="G54" i="1"/>
  <c r="I54" i="1"/>
  <c r="E58" i="2"/>
  <c r="E73" i="2"/>
  <c r="E33" i="2"/>
  <c r="G36" i="1"/>
  <c r="I36" i="1"/>
  <c r="E51" i="2"/>
  <c r="G21" i="1"/>
  <c r="I21" i="1"/>
  <c r="E26" i="2"/>
  <c r="E25" i="2"/>
  <c r="R79" i="1"/>
  <c r="C12" i="1"/>
  <c r="C11" i="1"/>
  <c r="O25" i="1" l="1"/>
  <c r="O75" i="1"/>
  <c r="O67" i="1"/>
  <c r="O68" i="1"/>
  <c r="O85" i="1"/>
  <c r="O78" i="1"/>
  <c r="O87" i="1"/>
  <c r="O71" i="1"/>
  <c r="O73" i="1"/>
  <c r="O82" i="1"/>
  <c r="O91" i="1"/>
  <c r="O65" i="1"/>
  <c r="O72" i="1"/>
  <c r="C15" i="1"/>
  <c r="O74" i="1"/>
  <c r="O77" i="1"/>
  <c r="O84" i="1"/>
  <c r="O81" i="1"/>
  <c r="O76" i="1"/>
  <c r="O88" i="1"/>
  <c r="O66" i="1"/>
  <c r="O90" i="1"/>
  <c r="O89" i="1"/>
  <c r="O69" i="1"/>
  <c r="O79" i="1"/>
  <c r="O83" i="1"/>
  <c r="O80" i="1"/>
  <c r="O86" i="1"/>
  <c r="O70" i="1"/>
  <c r="C16" i="1"/>
  <c r="D18" i="1" s="1"/>
  <c r="U29" i="1"/>
  <c r="P59" i="1"/>
  <c r="R59" i="1" s="1"/>
  <c r="P57" i="1"/>
  <c r="R57" i="1" s="1"/>
  <c r="P52" i="1"/>
  <c r="R52" i="1" s="1"/>
  <c r="P49" i="1"/>
  <c r="R49" i="1" s="1"/>
  <c r="U51" i="1"/>
  <c r="P74" i="1"/>
  <c r="R74" i="1" s="1"/>
  <c r="U44" i="1"/>
  <c r="U28" i="1"/>
  <c r="P54" i="1"/>
  <c r="R54" i="1" s="1"/>
  <c r="P63" i="1"/>
  <c r="R63" i="1" s="1"/>
  <c r="U40" i="1"/>
  <c r="P56" i="1"/>
  <c r="R56" i="1" s="1"/>
  <c r="U49" i="1"/>
  <c r="P60" i="1"/>
  <c r="R60" i="1" s="1"/>
  <c r="P38" i="1"/>
  <c r="R38" i="1" s="1"/>
  <c r="P44" i="1"/>
  <c r="R44" i="1" s="1"/>
  <c r="U26" i="1"/>
  <c r="U27" i="1"/>
  <c r="P25" i="1"/>
  <c r="R25" i="1" s="1"/>
  <c r="D15" i="1"/>
  <c r="C19" i="1" s="1"/>
  <c r="P90" i="1"/>
  <c r="R90" i="1" s="1"/>
  <c r="U48" i="1"/>
  <c r="P75" i="1"/>
  <c r="R75" i="1" s="1"/>
  <c r="P68" i="1"/>
  <c r="R68" i="1" s="1"/>
  <c r="U22" i="1"/>
  <c r="P23" i="1"/>
  <c r="R23" i="1" s="1"/>
  <c r="E14" i="1" s="1"/>
  <c r="P40" i="1"/>
  <c r="R40" i="1" s="1"/>
  <c r="P64" i="1"/>
  <c r="R64" i="1" s="1"/>
  <c r="U42" i="1"/>
  <c r="P35" i="1"/>
  <c r="R35" i="1" s="1"/>
  <c r="P65" i="1"/>
  <c r="R65" i="1" s="1"/>
  <c r="P50" i="1"/>
  <c r="R50" i="1" s="1"/>
  <c r="P70" i="1"/>
  <c r="R70" i="1" s="1"/>
  <c r="P31" i="1"/>
  <c r="R31" i="1" s="1"/>
  <c r="U34" i="1"/>
  <c r="U53" i="1"/>
  <c r="P33" i="1"/>
  <c r="R33" i="1" s="1"/>
  <c r="P67" i="1"/>
  <c r="R67" i="1" s="1"/>
  <c r="P86" i="1"/>
  <c r="R86" i="1" s="1"/>
  <c r="U56" i="1"/>
  <c r="P53" i="1"/>
  <c r="R53" i="1" s="1"/>
  <c r="U31" i="1"/>
  <c r="U50" i="1"/>
  <c r="P28" i="1"/>
  <c r="R28" i="1" s="1"/>
  <c r="P66" i="1"/>
  <c r="R66" i="1" s="1"/>
  <c r="P84" i="1"/>
  <c r="R84" i="1" s="1"/>
  <c r="P85" i="1"/>
  <c r="R85" i="1" s="1"/>
  <c r="P34" i="1"/>
  <c r="R34" i="1" s="1"/>
  <c r="P51" i="1"/>
  <c r="R51" i="1" s="1"/>
  <c r="P89" i="1"/>
  <c r="R89" i="1" s="1"/>
  <c r="U30" i="1"/>
  <c r="P78" i="1"/>
  <c r="R78" i="1" s="1"/>
  <c r="P37" i="1"/>
  <c r="R37" i="1" s="1"/>
  <c r="P69" i="1"/>
  <c r="R69" i="1" s="1"/>
  <c r="U39" i="1"/>
  <c r="P72" i="1"/>
  <c r="R72" i="1" s="1"/>
  <c r="U23" i="1"/>
  <c r="P62" i="1"/>
  <c r="R62" i="1" s="1"/>
  <c r="D16" i="1"/>
  <c r="D19" i="1" s="1"/>
  <c r="P55" i="1"/>
  <c r="R55" i="1" s="1"/>
  <c r="P71" i="1"/>
  <c r="R71" i="1" s="1"/>
  <c r="U38" i="1"/>
  <c r="P48" i="1"/>
  <c r="R48" i="1" s="1"/>
  <c r="U43" i="1"/>
  <c r="U32" i="1"/>
  <c r="P91" i="1"/>
  <c r="R91" i="1" s="1"/>
  <c r="P58" i="1"/>
  <c r="R58" i="1" s="1"/>
  <c r="C18" i="1" l="1"/>
  <c r="G17" i="1"/>
  <c r="G18" i="1" s="1"/>
</calcChain>
</file>

<file path=xl/sharedStrings.xml><?xml version="1.0" encoding="utf-8"?>
<sst xmlns="http://schemas.openxmlformats.org/spreadsheetml/2006/main" count="652" uniqueCount="378">
  <si>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</si>
  <si>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</si>
  <si>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</si>
  <si>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</si>
  <si>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</si>
  <si>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</si>
  <si>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</si>
  <si>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</si>
  <si>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</si>
  <si>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</si>
  <si>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</si>
  <si>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</si>
  <si>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</si>
  <si>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</si>
  <si>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</si>
  <si>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</si>
  <si>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</si>
  <si>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</si>
  <si>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</si>
  <si>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</si>
  <si>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</si>
  <si>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</si>
  <si>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</si>
  <si>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</si>
  <si>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</si>
  <si>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</si>
  <si>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</si>
  <si>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</si>
  <si>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</si>
  <si>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BBSAG Bull.27</t>
  </si>
  <si>
    <t>v</t>
  </si>
  <si>
    <t>BBSAG Bull.31</t>
  </si>
  <si>
    <t>BBSAG Bull.35</t>
  </si>
  <si>
    <t>BBSAG Bull.39</t>
  </si>
  <si>
    <t>BBSAG Bull.40</t>
  </si>
  <si>
    <t>BBSAG Bull.42</t>
  </si>
  <si>
    <t>BBSAG Bull.45</t>
  </si>
  <si>
    <t>BBSAG Bull.46</t>
  </si>
  <si>
    <t>BBSAG Bull.51</t>
  </si>
  <si>
    <t>BBSAG Bull.52</t>
  </si>
  <si>
    <t>BBSAG Bull.53</t>
  </si>
  <si>
    <t>BBSAG Bull.59</t>
  </si>
  <si>
    <t>BBSAG Bull.63</t>
  </si>
  <si>
    <t>BBSAG Bull.68</t>
  </si>
  <si>
    <t>BBSAG Bull.71</t>
  </si>
  <si>
    <t>BBSAG Bull.81</t>
  </si>
  <si>
    <t>BBSAG Bull.83</t>
  </si>
  <si>
    <t>BBSAG Bull.86</t>
  </si>
  <si>
    <t>BBSAG Bull.87</t>
  </si>
  <si>
    <t>BRNO 30</t>
  </si>
  <si>
    <t>BBSAG Bull.91</t>
  </si>
  <si>
    <t>BBSAG Bull.94</t>
  </si>
  <si>
    <t>BBSAG Bull.96</t>
  </si>
  <si>
    <t>BBSAG Bull.99</t>
  </si>
  <si>
    <t>IBVS 4083</t>
  </si>
  <si>
    <t>BBSAG Bull.100</t>
  </si>
  <si>
    <t>BBSAG Bull.102</t>
  </si>
  <si>
    <t>BBSAG Bull.103</t>
  </si>
  <si>
    <t>BBSAG Bull.109</t>
  </si>
  <si>
    <t>BBSAG Bull.116</t>
  </si>
  <si>
    <t>BBSAG 119</t>
  </si>
  <si>
    <t>Morgenroth (1934)</t>
  </si>
  <si>
    <t>pg</t>
  </si>
  <si>
    <t>Piotrowski (1935)</t>
  </si>
  <si>
    <t>Szafraniec (1974)</t>
  </si>
  <si>
    <t>I</t>
  </si>
  <si>
    <t>ROTSE data show very shallow/broad secondary eclipse.</t>
  </si>
  <si>
    <t>ROTSE</t>
  </si>
  <si>
    <t>BBSAG 124</t>
  </si>
  <si>
    <t>BBSAG 126</t>
  </si>
  <si>
    <t>EA/SD</t>
  </si>
  <si>
    <t>IBVS 5543</t>
  </si>
  <si>
    <t># of data points:</t>
  </si>
  <si>
    <t>FK Ori / gsc 0685-0308</t>
  </si>
  <si>
    <t>IBVS 5690</t>
  </si>
  <si>
    <t>IBVS 5731</t>
  </si>
  <si>
    <t>Or &gt;&gt;&gt;&gt;&gt;&gt;</t>
  </si>
  <si>
    <t>Quad</t>
  </si>
  <si>
    <t>IBVS 5870</t>
  </si>
  <si>
    <t>II</t>
  </si>
  <si>
    <t>Start of linear fit (row #)</t>
  </si>
  <si>
    <t>IBVS 5894</t>
  </si>
  <si>
    <t>OEJV 0003</t>
  </si>
  <si>
    <t>IBVS 5959</t>
  </si>
  <si>
    <t>IBVS 5992</t>
  </si>
  <si>
    <t>IBVS 6042</t>
  </si>
  <si>
    <t>IBVS 6084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</si>
  <si>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</si>
  <si>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</si>
  <si>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</si>
  <si>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</si>
  <si>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</si>
  <si>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</si>
  <si>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</si>
  <si>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</si>
  <si>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</si>
  <si>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vis</t>
  </si>
  <si>
    <t> -0.003 </t>
  </si>
  <si>
    <t>2426988.576 </t>
  </si>
  <si>
    <t> 08.10.1932 01:49 </t>
  </si>
  <si>
    <t> 0.447 </t>
  </si>
  <si>
    <t>P </t>
  </si>
  <si>
    <t> O.Morgenroth </t>
  </si>
  <si>
    <t> AN 252.391 </t>
  </si>
  <si>
    <t>2427360.525 </t>
  </si>
  <si>
    <t> 15.10.1933 00:36 </t>
  </si>
  <si>
    <t> 0.418 </t>
  </si>
  <si>
    <t>2427479.292 </t>
  </si>
  <si>
    <t> 10.02.1934 19:00 </t>
  </si>
  <si>
    <t> 0.386 </t>
  </si>
  <si>
    <t>2427773.390 </t>
  </si>
  <si>
    <t> 01.12.1934 21:21 </t>
  </si>
  <si>
    <t> 0.407 </t>
  </si>
  <si>
    <t>V </t>
  </si>
  <si>
    <t> S.Piotrowski </t>
  </si>
  <si>
    <t> AAC 2.97 </t>
  </si>
  <si>
    <t>2428188.192 </t>
  </si>
  <si>
    <t> 20.01.1936 16:36 </t>
  </si>
  <si>
    <t> 0.385 </t>
  </si>
  <si>
    <t> AA 27.156 </t>
  </si>
  <si>
    <t>2433744.30 </t>
  </si>
  <si>
    <t> 07.04.1951 19:12 </t>
  </si>
  <si>
    <t> 0.19 </t>
  </si>
  <si>
    <t> R.Szafraniec </t>
  </si>
  <si>
    <t> SAC 23.87 </t>
  </si>
  <si>
    <t>2434661.511 </t>
  </si>
  <si>
    <t> 11.10.1953 00:15 </t>
  </si>
  <si>
    <t> 0.118 </t>
  </si>
  <si>
    <t> AAC 5.193 </t>
  </si>
  <si>
    <t>2436630.394 </t>
  </si>
  <si>
    <t> 02.03.1959 21:27 </t>
  </si>
  <si>
    <t> 0.049 </t>
  </si>
  <si>
    <t> AA 10.69 </t>
  </si>
  <si>
    <t>2442866.336 </t>
  </si>
  <si>
    <t> 28.03.1976 20:03 </t>
  </si>
  <si>
    <t> 0.003 </t>
  </si>
  <si>
    <t> R.Diethelm </t>
  </si>
  <si>
    <t> BBS 27 </t>
  </si>
  <si>
    <t>2443127.301 </t>
  </si>
  <si>
    <t> 14.12.1976 19:13 </t>
  </si>
  <si>
    <t> -0.000 </t>
  </si>
  <si>
    <t> K.Locher </t>
  </si>
  <si>
    <t> BBS 31 </t>
  </si>
  <si>
    <t>2443456.436 </t>
  </si>
  <si>
    <t> 08.11.1977 22:27 </t>
  </si>
  <si>
    <t> 0.002 </t>
  </si>
  <si>
    <t> BBS 35 </t>
  </si>
  <si>
    <t>2443783.621 </t>
  </si>
  <si>
    <t> 02.10.1978 02:54 </t>
  </si>
  <si>
    <t> BBS 39 </t>
  </si>
  <si>
    <t>2443828.435 </t>
  </si>
  <si>
    <t> 15.11.1978 22:26 </t>
  </si>
  <si>
    <t> 0.023 </t>
  </si>
  <si>
    <t> BBS 40 </t>
  </si>
  <si>
    <t>2443941.385 </t>
  </si>
  <si>
    <t> 08.03.1979 21:14 </t>
  </si>
  <si>
    <t> 0.016 </t>
  </si>
  <si>
    <t> BBS 42 </t>
  </si>
  <si>
    <t>2444118.593 </t>
  </si>
  <si>
    <t> 02.09.1979 02:13 </t>
  </si>
  <si>
    <t> -0.001 </t>
  </si>
  <si>
    <t> BBS 45 </t>
  </si>
  <si>
    <t>2444278.299 </t>
  </si>
  <si>
    <t> 08.02.1980 19:10 </t>
  </si>
  <si>
    <t> 0.008 </t>
  </si>
  <si>
    <t> BBS 46 </t>
  </si>
  <si>
    <t>2444564.597 </t>
  </si>
  <si>
    <t> 21.11.1980 02:19 </t>
  </si>
  <si>
    <t> 0.019 </t>
  </si>
  <si>
    <t> BBS 51 </t>
  </si>
  <si>
    <t>2444566.526 </t>
  </si>
  <si>
    <t> 23.11.1980 00:37 </t>
  </si>
  <si>
    <t> 0.001 </t>
  </si>
  <si>
    <t>2444603.539 </t>
  </si>
  <si>
    <t> 30.12.1980 00:56 </t>
  </si>
  <si>
    <t> 0.011 </t>
  </si>
  <si>
    <t> H.Peter </t>
  </si>
  <si>
    <t> BBS 52 </t>
  </si>
  <si>
    <t>2444607.424 </t>
  </si>
  <si>
    <t> 02.01.1981 22:10 </t>
  </si>
  <si>
    <t> 0.000 </t>
  </si>
  <si>
    <t>2444613.264 </t>
  </si>
  <si>
    <t> 08.01.1981 18:20 </t>
  </si>
  <si>
    <t> -0.002 </t>
  </si>
  <si>
    <t>2444642.475 </t>
  </si>
  <si>
    <t> 06.02.1981 23:24 </t>
  </si>
  <si>
    <t> -0.004 </t>
  </si>
  <si>
    <t> BBS 53 </t>
  </si>
  <si>
    <t>2444644.422 </t>
  </si>
  <si>
    <t> 08.02.1981 22:07 </t>
  </si>
  <si>
    <t> -0.005 </t>
  </si>
  <si>
    <t>2444646.375 </t>
  </si>
  <si>
    <t> 10.02.1981 21:00 </t>
  </si>
  <si>
    <t>2445055.347 </t>
  </si>
  <si>
    <t> 26.03.1982 20:19 </t>
  </si>
  <si>
    <t> -0.008 </t>
  </si>
  <si>
    <t> BBS 59 </t>
  </si>
  <si>
    <t>2445273.500 </t>
  </si>
  <si>
    <t> 31.10.1982 00:00 </t>
  </si>
  <si>
    <t> 0.022 </t>
  </si>
  <si>
    <t> BBS 63 </t>
  </si>
  <si>
    <t>2445600.652 </t>
  </si>
  <si>
    <t> 23.09.1983 03:38 </t>
  </si>
  <si>
    <t> -0.011 </t>
  </si>
  <si>
    <t> BBS 68 </t>
  </si>
  <si>
    <t>2445680.512 </t>
  </si>
  <si>
    <t> 12.12.1983 00:17 </t>
  </si>
  <si>
    <t> BBS 70 </t>
  </si>
  <si>
    <t>2445723.321 </t>
  </si>
  <si>
    <t> 23.01.1984 19:42 </t>
  </si>
  <si>
    <t> -0.037 </t>
  </si>
  <si>
    <t> G.Mavrofridis </t>
  </si>
  <si>
    <t> BBS 71 </t>
  </si>
  <si>
    <t>2446679.591 </t>
  </si>
  <si>
    <t> 06.09.1986 02:11 </t>
  </si>
  <si>
    <t> BBS 81 </t>
  </si>
  <si>
    <t>2446876.282 </t>
  </si>
  <si>
    <t> 21.03.1987 18:46 </t>
  </si>
  <si>
    <t> -0.013 </t>
  </si>
  <si>
    <t> BBS 83 </t>
  </si>
  <si>
    <t>2447123.644 </t>
  </si>
  <si>
    <t> 24.11.1987 03:27 </t>
  </si>
  <si>
    <t> 0.013 </t>
  </si>
  <si>
    <t> BBS 86 </t>
  </si>
  <si>
    <t>2447205.416 </t>
  </si>
  <si>
    <t> 13.02.1988 21:59 </t>
  </si>
  <si>
    <t> BBS 87 </t>
  </si>
  <si>
    <t>2447205.431 </t>
  </si>
  <si>
    <t> 13.02.1988 22:20 </t>
  </si>
  <si>
    <t> 0.004 </t>
  </si>
  <si>
    <t>2447207.363 </t>
  </si>
  <si>
    <t> 15.02.1988 20:42 </t>
  </si>
  <si>
    <t> -0.012 </t>
  </si>
  <si>
    <t> J.Manek </t>
  </si>
  <si>
    <t> BRNO 30 </t>
  </si>
  <si>
    <t>2447207.368 </t>
  </si>
  <si>
    <t> 15.02.1988 20:49 </t>
  </si>
  <si>
    <t> -0.007 </t>
  </si>
  <si>
    <t>2447207.380 </t>
  </si>
  <si>
    <t> 15.02.1988 21:07 </t>
  </si>
  <si>
    <t> 0.005 </t>
  </si>
  <si>
    <t> A.Dedoch </t>
  </si>
  <si>
    <t>2447540.404 </t>
  </si>
  <si>
    <t> 13.01.1989 21:41 </t>
  </si>
  <si>
    <t> BBS 91 </t>
  </si>
  <si>
    <t>2447542.345 </t>
  </si>
  <si>
    <t> 15.01.1989 20:16 </t>
  </si>
  <si>
    <t> J.Borovicka </t>
  </si>
  <si>
    <t>2447908.465 </t>
  </si>
  <si>
    <t> 16.01.1990 23:09 </t>
  </si>
  <si>
    <t> -0.020 </t>
  </si>
  <si>
    <t> BBS 94 </t>
  </si>
  <si>
    <t>2447912.380 </t>
  </si>
  <si>
    <t> 20.01.1990 21:07 </t>
  </si>
  <si>
    <t>2447914.323 </t>
  </si>
  <si>
    <t> 22.01.1990 19:45 </t>
  </si>
  <si>
    <t>2448126.601 </t>
  </si>
  <si>
    <t> 23.08.1990 02:25 </t>
  </si>
  <si>
    <t> BBS 96 </t>
  </si>
  <si>
    <t>2448533.646 </t>
  </si>
  <si>
    <t> 04.10.1991 03:30 </t>
  </si>
  <si>
    <t> BBS 99 </t>
  </si>
  <si>
    <t>2448541.430 </t>
  </si>
  <si>
    <t> 11.10.1991 22:19 </t>
  </si>
  <si>
    <t>E </t>
  </si>
  <si>
    <t>?</t>
  </si>
  <si>
    <t> M.Zakirov </t>
  </si>
  <si>
    <t>IBVS 4083 </t>
  </si>
  <si>
    <t>2448619.344 </t>
  </si>
  <si>
    <t> 28.12.1991 20:15 </t>
  </si>
  <si>
    <t> BBS 100 </t>
  </si>
  <si>
    <t>2448872.523 </t>
  </si>
  <si>
    <t> 07.09.1992 00:33 </t>
  </si>
  <si>
    <t> BBS 102 </t>
  </si>
  <si>
    <t>2448915.356 </t>
  </si>
  <si>
    <t> 19.10.1992 20:32 </t>
  </si>
  <si>
    <t>2448917.304 </t>
  </si>
  <si>
    <t> 21.10.1992 19:17 </t>
  </si>
  <si>
    <t>2449026.363 </t>
  </si>
  <si>
    <t> 07.02.1993 20:42 </t>
  </si>
  <si>
    <t> BBS 103 </t>
  </si>
  <si>
    <t>2449065.326 </t>
  </si>
  <si>
    <t> 18.03.1993 19:49 </t>
  </si>
  <si>
    <t> 0.009 </t>
  </si>
  <si>
    <t>2449807.321 </t>
  </si>
  <si>
    <t> 30.03.1995 19:42 </t>
  </si>
  <si>
    <t> BBS 109 </t>
  </si>
  <si>
    <t>2450722.674 </t>
  </si>
  <si>
    <t> 01.10.1997 04:10 </t>
  </si>
  <si>
    <t> BBS 116 </t>
  </si>
  <si>
    <t>2451135.558 </t>
  </si>
  <si>
    <t> 18.11.1998 01:23 </t>
  </si>
  <si>
    <t> 0.017 </t>
  </si>
  <si>
    <t> BBS 119 </t>
  </si>
  <si>
    <t>2451895.0846 </t>
  </si>
  <si>
    <t> 16.12.2000 14:01 </t>
  </si>
  <si>
    <t> 0.0076 </t>
  </si>
  <si>
    <t> Kiyota </t>
  </si>
  <si>
    <t>VSB 38 </t>
  </si>
  <si>
    <t>2451959.358 </t>
  </si>
  <si>
    <t> 18.02.2001 20:35 </t>
  </si>
  <si>
    <t> BBS 124 </t>
  </si>
  <si>
    <t>2452208.631 </t>
  </si>
  <si>
    <t> 26.10.2001 03:08 </t>
  </si>
  <si>
    <t> BBS 126 </t>
  </si>
  <si>
    <t>2452878.585 </t>
  </si>
  <si>
    <t> 27.08.2003 02:02 </t>
  </si>
  <si>
    <t> 0.006 </t>
  </si>
  <si>
    <t> BBS 130 </t>
  </si>
  <si>
    <t>2453308.9866 </t>
  </si>
  <si>
    <t> 30.10.2004 11:40 </t>
  </si>
  <si>
    <t> 0.0035 </t>
  </si>
  <si>
    <t> T.Krajci </t>
  </si>
  <si>
    <t>IBVS 5690 </t>
  </si>
  <si>
    <t>2453326.511 </t>
  </si>
  <si>
    <t> 17.11.2004 00:15 </t>
  </si>
  <si>
    <t>OEJV 0003 </t>
  </si>
  <si>
    <t>2453708.2300 </t>
  </si>
  <si>
    <t> 03.12.2005 17:31 </t>
  </si>
  <si>
    <t> H.Maehara </t>
  </si>
  <si>
    <t>VSB 44 </t>
  </si>
  <si>
    <t>2453780.2890 </t>
  </si>
  <si>
    <t> 13.02.2006 18:56 </t>
  </si>
  <si>
    <t> 0.0039 </t>
  </si>
  <si>
    <t>C </t>
  </si>
  <si>
    <t>-I</t>
  </si>
  <si>
    <t> F.Walter </t>
  </si>
  <si>
    <t>BAVM 178 </t>
  </si>
  <si>
    <t>2454496.9756 </t>
  </si>
  <si>
    <t> 31.01.2008 11:24 </t>
  </si>
  <si>
    <t>4527</t>
  </si>
  <si>
    <t> -0.0002 </t>
  </si>
  <si>
    <t>Ic</t>
  </si>
  <si>
    <t> K.Nakajima </t>
  </si>
  <si>
    <t>VSB 48 </t>
  </si>
  <si>
    <t>2454511.5714 </t>
  </si>
  <si>
    <t> 15.02.2008 01:42 </t>
  </si>
  <si>
    <t>4534.5</t>
  </si>
  <si>
    <t> -0.0109 </t>
  </si>
  <si>
    <t> S.Dvorak </t>
  </si>
  <si>
    <t>IBVS 5870 </t>
  </si>
  <si>
    <t>2454842.6844 </t>
  </si>
  <si>
    <t> 11.01.2009 04:25 </t>
  </si>
  <si>
    <t>4704.5</t>
  </si>
  <si>
    <t> 0.0222 </t>
  </si>
  <si>
    <t>IBVS 5894 </t>
  </si>
  <si>
    <t>2454857.2647 </t>
  </si>
  <si>
    <t> 25.01.2009 18:21 </t>
  </si>
  <si>
    <t>4712</t>
  </si>
  <si>
    <t> -0.0039 </t>
  </si>
  <si>
    <t> M.Rätz &amp; K.Rätz </t>
  </si>
  <si>
    <t>BAVM 214 </t>
  </si>
  <si>
    <t>2455583.6766 </t>
  </si>
  <si>
    <t> 22.01.2011 04:14 </t>
  </si>
  <si>
    <t>5085</t>
  </si>
  <si>
    <t> -0.0204 </t>
  </si>
  <si>
    <t>IBVS 5992 </t>
  </si>
  <si>
    <t>2456220.4931 </t>
  </si>
  <si>
    <t> 19.10.2012 23:50 </t>
  </si>
  <si>
    <t>5412</t>
  </si>
  <si>
    <t> -0.0458 </t>
  </si>
  <si>
    <t>R</t>
  </si>
  <si>
    <t> K. &amp; M.Rätz </t>
  </si>
  <si>
    <t>BAVM 232 </t>
  </si>
  <si>
    <t>2456245.8087 </t>
  </si>
  <si>
    <t> 14.11.2012 07:24 </t>
  </si>
  <si>
    <t>5425</t>
  </si>
  <si>
    <t> -0.0481 </t>
  </si>
  <si>
    <t>IBVS 6042 </t>
  </si>
  <si>
    <t>Add cycle</t>
  </si>
  <si>
    <t>JD today</t>
  </si>
  <si>
    <t>Old Cycle</t>
  </si>
  <si>
    <t>New Cycle</t>
  </si>
  <si>
    <t>Next ToM</t>
  </si>
  <si>
    <t>Local time</t>
  </si>
  <si>
    <t>My time zone &gt;&gt;&gt;&gt;&gt;&gt;&gt;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</si>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</sst>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trike/>
      <sz val="10"/>
      <color indexed="20"/>
      <name val="Arial"/>
      <family val="2"/>
    </font>
    <font>
      <sz val="10"/>
      <color indexed="17"/>
      <name val="Arial"/>
      <family val="2"/>
    </font>
    <font>
      <strike/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7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" borderId="17" xfId="0" applyFont="1" applyFill="1" applyBorder="1" applyAlignment="1">
      <alignment horizontal="left" vertical="top" wrapText="1" indent="1"/>
    </xf>
    <xf numFmtId="0" fontId="5" fillId="2" borderId="17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right" vertical="top" wrapText="1"/>
    </xf>
    <xf numFmtId="0" fontId="19" fillId="2" borderId="17" xfId="7" applyFill="1" applyBorder="1" applyAlignment="1" applyProtection="1">
      <alignment horizontal="right" vertical="top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2" fontId="11" fillId="0" borderId="0" xfId="0" applyNumberFormat="1" applyFont="1" applyAlignment="1">
      <alignment vertical="center"/>
    </xf>
    <xf numFmtId="0" fontId="17" fillId="0" borderId="9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FK Ori - O-C Diagr.</a:t>
            </a:r>
          </a:p>
        </c:rich>
      </c:tx>
      <c:layout>
        <c:manualLayout>
          <c:xMode val="edge"/>
          <c:yMode val="edge"/>
          <c:x val="0.4008324687569393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0493326931269"/>
          <c:y val="0.14723926380368099"/>
          <c:w val="0.83772594874601025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E2-4136-A16A-C4B5EA80DD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1.6000000000000001E-4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0.44734199999948032</c:v>
                </c:pt>
                <c:pt idx="1">
                  <c:v>0.41830299999855924</c:v>
                </c:pt>
                <c:pt idx="2">
                  <c:v>0.3860339999991993</c:v>
                </c:pt>
                <c:pt idx="3">
                  <c:v>0.40715499999714666</c:v>
                </c:pt>
                <c:pt idx="4">
                  <c:v>0.38547799999651033</c:v>
                </c:pt>
                <c:pt idx="5">
                  <c:v>0.19324100000085309</c:v>
                </c:pt>
                <c:pt idx="6">
                  <c:v>0.11808200000086799</c:v>
                </c:pt>
                <c:pt idx="7">
                  <c:v>4.926300000079209E-2</c:v>
                </c:pt>
                <c:pt idx="8">
                  <c:v>3.4050000031129457E-3</c:v>
                </c:pt>
                <c:pt idx="9">
                  <c:v>-4.8100000276463106E-4</c:v>
                </c:pt>
                <c:pt idx="10">
                  <c:v>2.1179999966989271E-3</c:v>
                </c:pt>
                <c:pt idx="11">
                  <c:v>2.2459999963757582E-3</c:v>
                </c:pt>
                <c:pt idx="12">
                  <c:v>2.3078999998688232E-2</c:v>
                </c:pt>
                <c:pt idx="13">
                  <c:v>1.6396999999415129E-2</c:v>
                </c:pt>
                <c:pt idx="14">
                  <c:v>-7.4200000381097198E-4</c:v>
                </c:pt>
                <c:pt idx="15">
                  <c:v>7.8799999973853119E-3</c:v>
                </c:pt>
                <c:pt idx="16">
                  <c:v>1.9116999996185768E-2</c:v>
                </c:pt>
                <c:pt idx="17">
                  <c:v>5.8799999533221126E-4</c:v>
                </c:pt>
                <c:pt idx="18">
                  <c:v>1.0536999994656071E-2</c:v>
                </c:pt>
                <c:pt idx="19">
                  <c:v>4.7899999481160194E-4</c:v>
                </c:pt>
                <c:pt idx="20">
                  <c:v>-2.1080000005895272E-3</c:v>
                </c:pt>
                <c:pt idx="21">
                  <c:v>-4.0430000008200295E-3</c:v>
                </c:pt>
                <c:pt idx="22">
                  <c:v>-4.5720000052824616E-3</c:v>
                </c:pt>
                <c:pt idx="23">
                  <c:v>8.9899999875342473E-4</c:v>
                </c:pt>
                <c:pt idx="24">
                  <c:v>-8.1910000008065253E-3</c:v>
                </c:pt>
                <c:pt idx="25">
                  <c:v>2.1560999994107988E-2</c:v>
                </c:pt>
                <c:pt idx="26">
                  <c:v>-1.131100000202423E-2</c:v>
                </c:pt>
                <c:pt idx="28">
                  <c:v>-3.6637999997765291E-2</c:v>
                </c:pt>
                <c:pt idx="29">
                  <c:v>-3.3770000009099022E-3</c:v>
                </c:pt>
                <c:pt idx="30">
                  <c:v>-1.2806000006094109E-2</c:v>
                </c:pt>
                <c:pt idx="31">
                  <c:v>1.3010999995458405E-2</c:v>
                </c:pt>
                <c:pt idx="32">
                  <c:v>-1.1207000003196299E-2</c:v>
                </c:pt>
                <c:pt idx="33">
                  <c:v>3.7929999962216243E-3</c:v>
                </c:pt>
                <c:pt idx="34">
                  <c:v>-1.1736000007658731E-2</c:v>
                </c:pt>
                <c:pt idx="35">
                  <c:v>-6.7360000030021183E-3</c:v>
                </c:pt>
                <c:pt idx="36">
                  <c:v>5.2639999921666458E-3</c:v>
                </c:pt>
                <c:pt idx="37">
                  <c:v>1.8049999998765998E-3</c:v>
                </c:pt>
                <c:pt idx="38">
                  <c:v>-4.7239999985322356E-3</c:v>
                </c:pt>
                <c:pt idx="39">
                  <c:v>-2.0176000005449168E-2</c:v>
                </c:pt>
                <c:pt idx="40">
                  <c:v>-2.3400000645779073E-4</c:v>
                </c:pt>
                <c:pt idx="41">
                  <c:v>-4.7630000044591725E-3</c:v>
                </c:pt>
                <c:pt idx="42">
                  <c:v>-7.4240000030840747E-3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E2-4136-A16A-C4B5EA80DD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43">
                  <c:v>4.014999998616986E-3</c:v>
                </c:pt>
                <c:pt idx="44">
                  <c:v>-2.1010000054957345E-3</c:v>
                </c:pt>
                <c:pt idx="45">
                  <c:v>1.0738999997556675E-2</c:v>
                </c:pt>
                <c:pt idx="46">
                  <c:v>1.0968999995384365E-2</c:v>
                </c:pt>
                <c:pt idx="47">
                  <c:v>-1.6690000047674403E-3</c:v>
                </c:pt>
                <c:pt idx="48">
                  <c:v>-1.1980000053881668E-3</c:v>
                </c:pt>
                <c:pt idx="49">
                  <c:v>-3.8220000060391612E-3</c:v>
                </c:pt>
                <c:pt idx="50">
                  <c:v>8.5980000003473833E-3</c:v>
                </c:pt>
                <c:pt idx="51">
                  <c:v>-4.9510000026202761E-3</c:v>
                </c:pt>
                <c:pt idx="52">
                  <c:v>9.4189999945228919E-3</c:v>
                </c:pt>
                <c:pt idx="53">
                  <c:v>1.7270999996981118E-2</c:v>
                </c:pt>
                <c:pt idx="54">
                  <c:v>1.7270999996981118E-2</c:v>
                </c:pt>
                <c:pt idx="55">
                  <c:v>5.6899999617598951E-4</c:v>
                </c:pt>
                <c:pt idx="56">
                  <c:v>7.56099999853177E-3</c:v>
                </c:pt>
                <c:pt idx="57">
                  <c:v>1.250399999844376E-2</c:v>
                </c:pt>
                <c:pt idx="58">
                  <c:v>1.7919999954756349E-3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E2-4136-A16A-C4B5EA80DD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59">
                  <c:v>5.8159999971394427E-3</c:v>
                </c:pt>
                <c:pt idx="60">
                  <c:v>3.5069999939878471E-3</c:v>
                </c:pt>
                <c:pt idx="61">
                  <c:v>1.4599999849451706E-4</c:v>
                </c:pt>
                <c:pt idx="62">
                  <c:v>3.4620000005816109E-3</c:v>
                </c:pt>
                <c:pt idx="63">
                  <c:v>3.8889999923412688E-3</c:v>
                </c:pt>
                <c:pt idx="64">
                  <c:v>-1.8300000374438241E-4</c:v>
                </c:pt>
                <c:pt idx="65">
                  <c:v>-1.0850500002561603E-2</c:v>
                </c:pt>
                <c:pt idx="66">
                  <c:v>2.2219499995117076E-2</c:v>
                </c:pt>
                <c:pt idx="67">
                  <c:v>-3.9480000050389208E-3</c:v>
                </c:pt>
                <c:pt idx="68">
                  <c:v>-2.0365000003948808E-2</c:v>
                </c:pt>
                <c:pt idx="69">
                  <c:v>-4.5848000001569744E-2</c:v>
                </c:pt>
                <c:pt idx="70">
                  <c:v>-4.8125000001164153E-2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E2-4136-A16A-C4B5EA80DD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E2-4136-A16A-C4B5EA80DD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E2-4136-A16A-C4B5EA80DD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E2-4136-A16A-C4B5EA80DD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">
                  <c:v>0.40857992980728502</c:v>
                </c:pt>
                <c:pt idx="44">
                  <c:v>8.7302613017394032E-2</c:v>
                </c:pt>
                <c:pt idx="45">
                  <c:v>8.607296105379289E-2</c:v>
                </c:pt>
                <c:pt idx="46">
                  <c:v>8.2076592172089138E-2</c:v>
                </c:pt>
                <c:pt idx="47">
                  <c:v>8.1400283592108505E-2</c:v>
                </c:pt>
                <c:pt idx="48">
                  <c:v>8.1369542293018474E-2</c:v>
                </c:pt>
                <c:pt idx="49">
                  <c:v>7.9648029543976859E-2</c:v>
                </c:pt>
                <c:pt idx="50">
                  <c:v>7.9033203562176288E-2</c:v>
                </c:pt>
                <c:pt idx="51">
                  <c:v>6.7320768608875314E-2</c:v>
                </c:pt>
                <c:pt idx="52">
                  <c:v>5.2872358036561776E-2</c:v>
                </c:pt>
                <c:pt idx="53">
                  <c:v>4.6355202629475664E-2</c:v>
                </c:pt>
                <c:pt idx="54">
                  <c:v>4.6355202629475664E-2</c:v>
                </c:pt>
                <c:pt idx="55">
                  <c:v>4.211290335505169E-2</c:v>
                </c:pt>
                <c:pt idx="56">
                  <c:v>3.4366095984364436E-2</c:v>
                </c:pt>
                <c:pt idx="57">
                  <c:v>3.3351633114393486E-2</c:v>
                </c:pt>
                <c:pt idx="58">
                  <c:v>2.9416746830869797E-2</c:v>
                </c:pt>
                <c:pt idx="59">
                  <c:v>1.8841739943899899E-2</c:v>
                </c:pt>
                <c:pt idx="60">
                  <c:v>1.2047912845003533E-2</c:v>
                </c:pt>
                <c:pt idx="61">
                  <c:v>1.1771241153193265E-2</c:v>
                </c:pt>
                <c:pt idx="62">
                  <c:v>5.7459465315476133E-3</c:v>
                </c:pt>
                <c:pt idx="63">
                  <c:v>4.6085184652165656E-3</c:v>
                </c:pt>
                <c:pt idx="64">
                  <c:v>-6.7042795999140425E-3</c:v>
                </c:pt>
                <c:pt idx="65">
                  <c:v>-6.9348393430892497E-3</c:v>
                </c:pt>
                <c:pt idx="66">
                  <c:v>-1.2160860188394157E-2</c:v>
                </c:pt>
                <c:pt idx="67">
                  <c:v>-1.2391419931569364E-2</c:v>
                </c:pt>
                <c:pt idx="68">
                  <c:v>-2.3857924492150101E-2</c:v>
                </c:pt>
                <c:pt idx="69">
                  <c:v>-3.3910329294589536E-2</c:v>
                </c:pt>
                <c:pt idx="70">
                  <c:v>-3.4309966182759916E-2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E2-4136-A16A-C4B5EA80DD32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Active!$T$21:$T$55</c:f>
              <c:numCache>
                <c:formatCode>General</c:formatCode>
                <c:ptCount val="35"/>
                <c:pt idx="0">
                  <c:v>-12000</c:v>
                </c:pt>
                <c:pt idx="1">
                  <c:v>-11500</c:v>
                </c:pt>
                <c:pt idx="2">
                  <c:v>-11000</c:v>
                </c:pt>
                <c:pt idx="3">
                  <c:v>-10500</c:v>
                </c:pt>
                <c:pt idx="5">
                  <c:v>-10000</c:v>
                </c:pt>
                <c:pt idx="6">
                  <c:v>-9500</c:v>
                </c:pt>
                <c:pt idx="7">
                  <c:v>-9000</c:v>
                </c:pt>
                <c:pt idx="8">
                  <c:v>-8500</c:v>
                </c:pt>
                <c:pt idx="9">
                  <c:v>-8000</c:v>
                </c:pt>
                <c:pt idx="10">
                  <c:v>-7500</c:v>
                </c:pt>
                <c:pt idx="11">
                  <c:v>-7000</c:v>
                </c:pt>
                <c:pt idx="12">
                  <c:v>-6500</c:v>
                </c:pt>
                <c:pt idx="13">
                  <c:v>-6000</c:v>
                </c:pt>
                <c:pt idx="14">
                  <c:v>-5500</c:v>
                </c:pt>
                <c:pt idx="15">
                  <c:v>-5000</c:v>
                </c:pt>
                <c:pt idx="16">
                  <c:v>-4500</c:v>
                </c:pt>
                <c:pt idx="17">
                  <c:v>-4000</c:v>
                </c:pt>
                <c:pt idx="18">
                  <c:v>-3500</c:v>
                </c:pt>
                <c:pt idx="19">
                  <c:v>-3000</c:v>
                </c:pt>
                <c:pt idx="20">
                  <c:v>-2500</c:v>
                </c:pt>
                <c:pt idx="21">
                  <c:v>-2000</c:v>
                </c:pt>
                <c:pt idx="22">
                  <c:v>-1500</c:v>
                </c:pt>
                <c:pt idx="23">
                  <c:v>-1000</c:v>
                </c:pt>
                <c:pt idx="24">
                  <c:v>-500</c:v>
                </c:pt>
                <c:pt idx="25">
                  <c:v>0</c:v>
                </c:pt>
                <c:pt idx="26">
                  <c:v>500</c:v>
                </c:pt>
                <c:pt idx="27">
                  <c:v>1000</c:v>
                </c:pt>
                <c:pt idx="28">
                  <c:v>1500</c:v>
                </c:pt>
                <c:pt idx="29">
                  <c:v>2000</c:v>
                </c:pt>
                <c:pt idx="30">
                  <c:v>2500</c:v>
                </c:pt>
                <c:pt idx="31">
                  <c:v>3000</c:v>
                </c:pt>
                <c:pt idx="32">
                  <c:v>3500</c:v>
                </c:pt>
                <c:pt idx="33">
                  <c:v>4000</c:v>
                </c:pt>
                <c:pt idx="34">
                  <c:v>4500</c:v>
                </c:pt>
              </c:numCache>
            </c:numRef>
          </c:xVal>
          <c:yVal>
            <c:numRef>
              <c:f>Active!$U$21:$U$55</c:f>
              <c:numCache>
                <c:formatCode>General</c:formatCode>
                <c:ptCount val="35"/>
                <c:pt idx="0">
                  <c:v>0.65563308984203106</c:v>
                </c:pt>
                <c:pt idx="1">
                  <c:v>0.6037422839643839</c:v>
                </c:pt>
                <c:pt idx="2">
                  <c:v>0.55398823623164362</c:v>
                </c:pt>
                <c:pt idx="3">
                  <c:v>0.50637094664381044</c:v>
                </c:pt>
                <c:pt idx="5">
                  <c:v>0.46089041520088442</c:v>
                </c:pt>
                <c:pt idx="6">
                  <c:v>0.4175466419028655</c:v>
                </c:pt>
                <c:pt idx="7">
                  <c:v>0.37633962674975363</c:v>
                </c:pt>
                <c:pt idx="8">
                  <c:v>0.33726936974154886</c:v>
                </c:pt>
                <c:pt idx="9">
                  <c:v>0.30033587087825114</c:v>
                </c:pt>
                <c:pt idx="10">
                  <c:v>0.26553913015986058</c:v>
                </c:pt>
                <c:pt idx="11">
                  <c:v>0.23287914758637704</c:v>
                </c:pt>
                <c:pt idx="12">
                  <c:v>0.20235592315780063</c:v>
                </c:pt>
                <c:pt idx="13">
                  <c:v>0.17396945687413129</c:v>
                </c:pt>
                <c:pt idx="14">
                  <c:v>0.14771974873536906</c:v>
                </c:pt>
                <c:pt idx="15">
                  <c:v>0.12360679874151391</c:v>
                </c:pt>
                <c:pt idx="16">
                  <c:v>0.10163060689256585</c:v>
                </c:pt>
                <c:pt idx="17">
                  <c:v>8.1791173188524871E-2</c:v>
                </c:pt>
                <c:pt idx="18">
                  <c:v>6.4088497629390978E-2</c:v>
                </c:pt>
                <c:pt idx="19">
                  <c:v>4.8522580215164188E-2</c:v>
                </c:pt>
                <c:pt idx="20">
                  <c:v>3.5093420945844479E-2</c:v>
                </c:pt>
                <c:pt idx="21">
                  <c:v>2.380101982143186E-2</c:v>
                </c:pt>
                <c:pt idx="22">
                  <c:v>1.4645376841926329E-2</c:v>
                </c:pt>
                <c:pt idx="23">
                  <c:v>7.6264920073278886E-3</c:v>
                </c:pt>
                <c:pt idx="24">
                  <c:v>2.7443653176365363E-3</c:v>
                </c:pt>
                <c:pt idx="25">
                  <c:v>-1.0032271477268624E-6</c:v>
                </c:pt>
                <c:pt idx="26">
                  <c:v>-6.0961362702490157E-4</c:v>
                </c:pt>
                <c:pt idx="27">
                  <c:v>9.1853411800501281E-4</c:v>
                </c:pt>
                <c:pt idx="28">
                  <c:v>4.5834400079420154E-3</c:v>
                </c:pt>
                <c:pt idx="29">
                  <c:v>1.0385104042786107E-2</c:v>
                </c:pt>
                <c:pt idx="30">
                  <c:v>1.8323526222537287E-2</c:v>
                </c:pt>
                <c:pt idx="31">
                  <c:v>2.8398706547195555E-2</c:v>
                </c:pt>
                <c:pt idx="32">
                  <c:v>4.0610645016760913E-2</c:v>
                </c:pt>
                <c:pt idx="33">
                  <c:v>5.4959341631233366E-2</c:v>
                </c:pt>
                <c:pt idx="34">
                  <c:v>7.1444796390612908E-2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E2-4136-A16A-C4B5EA80D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5738040"/>
        <c:axId val="1"/>
      </c:scatterChart>
      <c:valAx>
        <c:axId val="845738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2428567788254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56726768377254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5738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643565185419784"/>
          <c:y val="0.92024539877300615"/>
          <c:w val="0.75173414002861294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FK Ori - O-C Diagr.</a:t>
            </a:r>
          </a:p>
        </c:rich>
      </c:tx>
      <c:layout>
        <c:manualLayout>
          <c:xMode val="edge"/>
          <c:yMode val="edge"/>
          <c:x val="0.4002770083102493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5373961218837"/>
          <c:y val="0.14678942920199375"/>
          <c:w val="0.83379501385041555"/>
          <c:h val="0.6605524314089719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2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DD-41D3-907E-A4C44BD0DAB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1.6000000000000001E-4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  <c:pt idx="67">
                    <c:v>2.0000000000000001E-4</c:v>
                  </c:pt>
                  <c:pt idx="68">
                    <c:v>2.0000000000000001E-4</c:v>
                  </c:pt>
                  <c:pt idx="69">
                    <c:v>5.0000000000000001E-4</c:v>
                  </c:pt>
                  <c:pt idx="70">
                    <c:v>1.6000000000000001E-4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0.44734199999948032</c:v>
                </c:pt>
                <c:pt idx="1">
                  <c:v>0.41830299999855924</c:v>
                </c:pt>
                <c:pt idx="2">
                  <c:v>0.3860339999991993</c:v>
                </c:pt>
                <c:pt idx="3">
                  <c:v>0.40715499999714666</c:v>
                </c:pt>
                <c:pt idx="4">
                  <c:v>0.38547799999651033</c:v>
                </c:pt>
                <c:pt idx="5">
                  <c:v>0.19324100000085309</c:v>
                </c:pt>
                <c:pt idx="6">
                  <c:v>0.11808200000086799</c:v>
                </c:pt>
                <c:pt idx="7">
                  <c:v>4.926300000079209E-2</c:v>
                </c:pt>
                <c:pt idx="8">
                  <c:v>3.4050000031129457E-3</c:v>
                </c:pt>
                <c:pt idx="9">
                  <c:v>-4.8100000276463106E-4</c:v>
                </c:pt>
                <c:pt idx="10">
                  <c:v>2.1179999966989271E-3</c:v>
                </c:pt>
                <c:pt idx="11">
                  <c:v>2.2459999963757582E-3</c:v>
                </c:pt>
                <c:pt idx="12">
                  <c:v>2.3078999998688232E-2</c:v>
                </c:pt>
                <c:pt idx="13">
                  <c:v>1.6396999999415129E-2</c:v>
                </c:pt>
                <c:pt idx="14">
                  <c:v>-7.4200000381097198E-4</c:v>
                </c:pt>
                <c:pt idx="15">
                  <c:v>7.8799999973853119E-3</c:v>
                </c:pt>
                <c:pt idx="16">
                  <c:v>1.9116999996185768E-2</c:v>
                </c:pt>
                <c:pt idx="17">
                  <c:v>5.8799999533221126E-4</c:v>
                </c:pt>
                <c:pt idx="18">
                  <c:v>1.0536999994656071E-2</c:v>
                </c:pt>
                <c:pt idx="19">
                  <c:v>4.7899999481160194E-4</c:v>
                </c:pt>
                <c:pt idx="20">
                  <c:v>-2.1080000005895272E-3</c:v>
                </c:pt>
                <c:pt idx="21">
                  <c:v>-4.0430000008200295E-3</c:v>
                </c:pt>
                <c:pt idx="22">
                  <c:v>-4.5720000052824616E-3</c:v>
                </c:pt>
                <c:pt idx="23">
                  <c:v>8.9899999875342473E-4</c:v>
                </c:pt>
                <c:pt idx="24">
                  <c:v>-8.1910000008065253E-3</c:v>
                </c:pt>
                <c:pt idx="25">
                  <c:v>2.1560999994107988E-2</c:v>
                </c:pt>
                <c:pt idx="26">
                  <c:v>-1.131100000202423E-2</c:v>
                </c:pt>
                <c:pt idx="28">
                  <c:v>-3.6637999997765291E-2</c:v>
                </c:pt>
                <c:pt idx="29">
                  <c:v>-3.3770000009099022E-3</c:v>
                </c:pt>
                <c:pt idx="30">
                  <c:v>-1.2806000006094109E-2</c:v>
                </c:pt>
                <c:pt idx="31">
                  <c:v>1.3010999995458405E-2</c:v>
                </c:pt>
                <c:pt idx="32">
                  <c:v>-1.1207000003196299E-2</c:v>
                </c:pt>
                <c:pt idx="33">
                  <c:v>3.7929999962216243E-3</c:v>
                </c:pt>
                <c:pt idx="34">
                  <c:v>-1.1736000007658731E-2</c:v>
                </c:pt>
                <c:pt idx="35">
                  <c:v>-6.7360000030021183E-3</c:v>
                </c:pt>
                <c:pt idx="36">
                  <c:v>5.2639999921666458E-3</c:v>
                </c:pt>
                <c:pt idx="37">
                  <c:v>1.8049999998765998E-3</c:v>
                </c:pt>
                <c:pt idx="38">
                  <c:v>-4.7239999985322356E-3</c:v>
                </c:pt>
                <c:pt idx="39">
                  <c:v>-2.0176000005449168E-2</c:v>
                </c:pt>
                <c:pt idx="40">
                  <c:v>-2.3400000645779073E-4</c:v>
                </c:pt>
                <c:pt idx="41">
                  <c:v>-4.7630000044591725E-3</c:v>
                </c:pt>
                <c:pt idx="42">
                  <c:v>-7.4240000030840747E-3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DD-41D3-907E-A4C44BD0DAB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43">
                  <c:v>4.014999998616986E-3</c:v>
                </c:pt>
                <c:pt idx="44">
                  <c:v>-2.1010000054957345E-3</c:v>
                </c:pt>
                <c:pt idx="45">
                  <c:v>1.0738999997556675E-2</c:v>
                </c:pt>
                <c:pt idx="46">
                  <c:v>1.0968999995384365E-2</c:v>
                </c:pt>
                <c:pt idx="47">
                  <c:v>-1.6690000047674403E-3</c:v>
                </c:pt>
                <c:pt idx="48">
                  <c:v>-1.1980000053881668E-3</c:v>
                </c:pt>
                <c:pt idx="49">
                  <c:v>-3.8220000060391612E-3</c:v>
                </c:pt>
                <c:pt idx="50">
                  <c:v>8.5980000003473833E-3</c:v>
                </c:pt>
                <c:pt idx="51">
                  <c:v>-4.9510000026202761E-3</c:v>
                </c:pt>
                <c:pt idx="52">
                  <c:v>9.4189999945228919E-3</c:v>
                </c:pt>
                <c:pt idx="53">
                  <c:v>1.7270999996981118E-2</c:v>
                </c:pt>
                <c:pt idx="54">
                  <c:v>1.7270999996981118E-2</c:v>
                </c:pt>
                <c:pt idx="55">
                  <c:v>5.6899999617598951E-4</c:v>
                </c:pt>
                <c:pt idx="56">
                  <c:v>7.56099999853177E-3</c:v>
                </c:pt>
                <c:pt idx="57">
                  <c:v>1.250399999844376E-2</c:v>
                </c:pt>
                <c:pt idx="58">
                  <c:v>1.7919999954756349E-3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DD-41D3-907E-A4C44BD0DAB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59">
                  <c:v>5.8159999971394427E-3</c:v>
                </c:pt>
                <c:pt idx="60">
                  <c:v>3.5069999939878471E-3</c:v>
                </c:pt>
                <c:pt idx="61">
                  <c:v>1.4599999849451706E-4</c:v>
                </c:pt>
                <c:pt idx="62">
                  <c:v>3.4620000005816109E-3</c:v>
                </c:pt>
                <c:pt idx="63">
                  <c:v>3.8889999923412688E-3</c:v>
                </c:pt>
                <c:pt idx="64">
                  <c:v>-1.8300000374438241E-4</c:v>
                </c:pt>
                <c:pt idx="65">
                  <c:v>-1.0850500002561603E-2</c:v>
                </c:pt>
                <c:pt idx="66">
                  <c:v>2.2219499995117076E-2</c:v>
                </c:pt>
                <c:pt idx="67">
                  <c:v>-3.9480000050389208E-3</c:v>
                </c:pt>
                <c:pt idx="68">
                  <c:v>-2.0365000003948808E-2</c:v>
                </c:pt>
                <c:pt idx="69">
                  <c:v>-4.5848000001569744E-2</c:v>
                </c:pt>
                <c:pt idx="70">
                  <c:v>-4.8125000001164153E-2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DD-41D3-907E-A4C44BD0DAB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DD-41D3-907E-A4C44BD0DAB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4DD-41D3-907E-A4C44BD0DAB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3">
                    <c:v>0</c:v>
                  </c:pt>
                  <c:pt idx="5">
                    <c:v>0</c:v>
                  </c:pt>
                  <c:pt idx="27">
                    <c:v>0</c:v>
                  </c:pt>
                  <c:pt idx="43">
                    <c:v>4.0000000000000001E-3</c:v>
                  </c:pt>
                  <c:pt idx="45">
                    <c:v>5.0000000000000001E-3</c:v>
                  </c:pt>
                  <c:pt idx="46">
                    <c:v>2E-3</c:v>
                  </c:pt>
                  <c:pt idx="49">
                    <c:v>3.0000000000000001E-3</c:v>
                  </c:pt>
                  <c:pt idx="50">
                    <c:v>6.0000000000000001E-3</c:v>
                  </c:pt>
                  <c:pt idx="51">
                    <c:v>3.0000000000000001E-3</c:v>
                  </c:pt>
                  <c:pt idx="52">
                    <c:v>7.0000000000000001E-3</c:v>
                  </c:pt>
                  <c:pt idx="53">
                    <c:v>7.0000000000000001E-3</c:v>
                  </c:pt>
                  <c:pt idx="54">
                    <c:v>7.0000000000000001E-3</c:v>
                  </c:pt>
                  <c:pt idx="59">
                    <c:v>8.0000000000000002E-3</c:v>
                  </c:pt>
                  <c:pt idx="60">
                    <c:v>2.0000000000000001E-4</c:v>
                  </c:pt>
                  <c:pt idx="61">
                    <c:v>4.0000000000000001E-3</c:v>
                  </c:pt>
                  <c:pt idx="63">
                    <c:v>4.0000000000000002E-4</c:v>
                  </c:pt>
                  <c:pt idx="65">
                    <c:v>2.9999999999999997E-4</c:v>
                  </c:pt>
                  <c:pt idx="66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4DD-41D3-907E-A4C44BD0DAB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-9598</c:v>
                </c:pt>
                <c:pt idx="1">
                  <c:v>-9407</c:v>
                </c:pt>
                <c:pt idx="2">
                  <c:v>-9346</c:v>
                </c:pt>
                <c:pt idx="3">
                  <c:v>-9195</c:v>
                </c:pt>
                <c:pt idx="4">
                  <c:v>-8982</c:v>
                </c:pt>
                <c:pt idx="5">
                  <c:v>-6129</c:v>
                </c:pt>
                <c:pt idx="6">
                  <c:v>-5658</c:v>
                </c:pt>
                <c:pt idx="7">
                  <c:v>-4647</c:v>
                </c:pt>
                <c:pt idx="8">
                  <c:v>-1445</c:v>
                </c:pt>
                <c:pt idx="9">
                  <c:v>-1311</c:v>
                </c:pt>
                <c:pt idx="10">
                  <c:v>-1142</c:v>
                </c:pt>
                <c:pt idx="11">
                  <c:v>-974</c:v>
                </c:pt>
                <c:pt idx="12">
                  <c:v>-951</c:v>
                </c:pt>
                <c:pt idx="13">
                  <c:v>-893</c:v>
                </c:pt>
                <c:pt idx="14">
                  <c:v>-802</c:v>
                </c:pt>
                <c:pt idx="15">
                  <c:v>-720</c:v>
                </c:pt>
                <c:pt idx="16">
                  <c:v>-573</c:v>
                </c:pt>
                <c:pt idx="17">
                  <c:v>-572</c:v>
                </c:pt>
                <c:pt idx="18">
                  <c:v>-553</c:v>
                </c:pt>
                <c:pt idx="19">
                  <c:v>-551</c:v>
                </c:pt>
                <c:pt idx="20">
                  <c:v>-548</c:v>
                </c:pt>
                <c:pt idx="21">
                  <c:v>-533</c:v>
                </c:pt>
                <c:pt idx="22">
                  <c:v>-532</c:v>
                </c:pt>
                <c:pt idx="23">
                  <c:v>-531</c:v>
                </c:pt>
                <c:pt idx="24">
                  <c:v>-321</c:v>
                </c:pt>
                <c:pt idx="25">
                  <c:v>-209</c:v>
                </c:pt>
                <c:pt idx="26">
                  <c:v>-41</c:v>
                </c:pt>
                <c:pt idx="27">
                  <c:v>0</c:v>
                </c:pt>
                <c:pt idx="28">
                  <c:v>22</c:v>
                </c:pt>
                <c:pt idx="29">
                  <c:v>513</c:v>
                </c:pt>
                <c:pt idx="30">
                  <c:v>614</c:v>
                </c:pt>
                <c:pt idx="31">
                  <c:v>741</c:v>
                </c:pt>
                <c:pt idx="32">
                  <c:v>783</c:v>
                </c:pt>
                <c:pt idx="33">
                  <c:v>783</c:v>
                </c:pt>
                <c:pt idx="34">
                  <c:v>784</c:v>
                </c:pt>
                <c:pt idx="35">
                  <c:v>784</c:v>
                </c:pt>
                <c:pt idx="36">
                  <c:v>784</c:v>
                </c:pt>
                <c:pt idx="37">
                  <c:v>955</c:v>
                </c:pt>
                <c:pt idx="38">
                  <c:v>956</c:v>
                </c:pt>
                <c:pt idx="39">
                  <c:v>1144</c:v>
                </c:pt>
                <c:pt idx="40">
                  <c:v>1146</c:v>
                </c:pt>
                <c:pt idx="41">
                  <c:v>1147</c:v>
                </c:pt>
                <c:pt idx="42">
                  <c:v>1256</c:v>
                </c:pt>
                <c:pt idx="43">
                  <c:v>1465</c:v>
                </c:pt>
                <c:pt idx="44">
                  <c:v>1469</c:v>
                </c:pt>
                <c:pt idx="45">
                  <c:v>1509</c:v>
                </c:pt>
                <c:pt idx="46">
                  <c:v>1639</c:v>
                </c:pt>
                <c:pt idx="47">
                  <c:v>1661</c:v>
                </c:pt>
                <c:pt idx="48">
                  <c:v>1662</c:v>
                </c:pt>
                <c:pt idx="49">
                  <c:v>1718</c:v>
                </c:pt>
                <c:pt idx="50">
                  <c:v>1738</c:v>
                </c:pt>
                <c:pt idx="51">
                  <c:v>2119</c:v>
                </c:pt>
                <c:pt idx="52">
                  <c:v>2589</c:v>
                </c:pt>
                <c:pt idx="53">
                  <c:v>2801</c:v>
                </c:pt>
                <c:pt idx="54">
                  <c:v>2801</c:v>
                </c:pt>
                <c:pt idx="55">
                  <c:v>2939</c:v>
                </c:pt>
                <c:pt idx="56">
                  <c:v>3191</c:v>
                </c:pt>
                <c:pt idx="57">
                  <c:v>3224</c:v>
                </c:pt>
                <c:pt idx="58">
                  <c:v>3352</c:v>
                </c:pt>
                <c:pt idx="59">
                  <c:v>3696</c:v>
                </c:pt>
                <c:pt idx="60">
                  <c:v>3917</c:v>
                </c:pt>
                <c:pt idx="61">
                  <c:v>3926</c:v>
                </c:pt>
                <c:pt idx="62">
                  <c:v>4122</c:v>
                </c:pt>
                <c:pt idx="63">
                  <c:v>4159</c:v>
                </c:pt>
                <c:pt idx="64">
                  <c:v>4527</c:v>
                </c:pt>
                <c:pt idx="65">
                  <c:v>4534.5</c:v>
                </c:pt>
                <c:pt idx="66">
                  <c:v>4704.5</c:v>
                </c:pt>
                <c:pt idx="67">
                  <c:v>4712</c:v>
                </c:pt>
                <c:pt idx="68">
                  <c:v>5085</c:v>
                </c:pt>
                <c:pt idx="69">
                  <c:v>5412</c:v>
                </c:pt>
                <c:pt idx="70">
                  <c:v>5425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4">
                  <c:v>0.40857992980728502</c:v>
                </c:pt>
                <c:pt idx="44">
                  <c:v>8.7302613017394032E-2</c:v>
                </c:pt>
                <c:pt idx="45">
                  <c:v>8.607296105379289E-2</c:v>
                </c:pt>
                <c:pt idx="46">
                  <c:v>8.2076592172089138E-2</c:v>
                </c:pt>
                <c:pt idx="47">
                  <c:v>8.1400283592108505E-2</c:v>
                </c:pt>
                <c:pt idx="48">
                  <c:v>8.1369542293018474E-2</c:v>
                </c:pt>
                <c:pt idx="49">
                  <c:v>7.9648029543976859E-2</c:v>
                </c:pt>
                <c:pt idx="50">
                  <c:v>7.9033203562176288E-2</c:v>
                </c:pt>
                <c:pt idx="51">
                  <c:v>6.7320768608875314E-2</c:v>
                </c:pt>
                <c:pt idx="52">
                  <c:v>5.2872358036561776E-2</c:v>
                </c:pt>
                <c:pt idx="53">
                  <c:v>4.6355202629475664E-2</c:v>
                </c:pt>
                <c:pt idx="54">
                  <c:v>4.6355202629475664E-2</c:v>
                </c:pt>
                <c:pt idx="55">
                  <c:v>4.211290335505169E-2</c:v>
                </c:pt>
                <c:pt idx="56">
                  <c:v>3.4366095984364436E-2</c:v>
                </c:pt>
                <c:pt idx="57">
                  <c:v>3.3351633114393486E-2</c:v>
                </c:pt>
                <c:pt idx="58">
                  <c:v>2.9416746830869797E-2</c:v>
                </c:pt>
                <c:pt idx="59">
                  <c:v>1.8841739943899899E-2</c:v>
                </c:pt>
                <c:pt idx="60">
                  <c:v>1.2047912845003533E-2</c:v>
                </c:pt>
                <c:pt idx="61">
                  <c:v>1.1771241153193265E-2</c:v>
                </c:pt>
                <c:pt idx="62">
                  <c:v>5.7459465315476133E-3</c:v>
                </c:pt>
                <c:pt idx="63">
                  <c:v>4.6085184652165656E-3</c:v>
                </c:pt>
                <c:pt idx="64">
                  <c:v>-6.7042795999140425E-3</c:v>
                </c:pt>
                <c:pt idx="65">
                  <c:v>-6.9348393430892497E-3</c:v>
                </c:pt>
                <c:pt idx="66">
                  <c:v>-1.2160860188394157E-2</c:v>
                </c:pt>
                <c:pt idx="67">
                  <c:v>-1.2391419931569364E-2</c:v>
                </c:pt>
                <c:pt idx="68">
                  <c:v>-2.3857924492150101E-2</c:v>
                </c:pt>
                <c:pt idx="69">
                  <c:v>-3.3910329294589536E-2</c:v>
                </c:pt>
                <c:pt idx="70">
                  <c:v>-3.4309966182759916E-2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4DD-41D3-907E-A4C44BD0DABF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Active!$T$21:$T$55</c:f>
              <c:numCache>
                <c:formatCode>General</c:formatCode>
                <c:ptCount val="35"/>
                <c:pt idx="0">
                  <c:v>-12000</c:v>
                </c:pt>
                <c:pt idx="1">
                  <c:v>-11500</c:v>
                </c:pt>
                <c:pt idx="2">
                  <c:v>-11000</c:v>
                </c:pt>
                <c:pt idx="3">
                  <c:v>-10500</c:v>
                </c:pt>
                <c:pt idx="5">
                  <c:v>-10000</c:v>
                </c:pt>
                <c:pt idx="6">
                  <c:v>-9500</c:v>
                </c:pt>
                <c:pt idx="7">
                  <c:v>-9000</c:v>
                </c:pt>
                <c:pt idx="8">
                  <c:v>-8500</c:v>
                </c:pt>
                <c:pt idx="9">
                  <c:v>-8000</c:v>
                </c:pt>
                <c:pt idx="10">
                  <c:v>-7500</c:v>
                </c:pt>
                <c:pt idx="11">
                  <c:v>-7000</c:v>
                </c:pt>
                <c:pt idx="12">
                  <c:v>-6500</c:v>
                </c:pt>
                <c:pt idx="13">
                  <c:v>-6000</c:v>
                </c:pt>
                <c:pt idx="14">
                  <c:v>-5500</c:v>
                </c:pt>
                <c:pt idx="15">
                  <c:v>-5000</c:v>
                </c:pt>
                <c:pt idx="16">
                  <c:v>-4500</c:v>
                </c:pt>
                <c:pt idx="17">
                  <c:v>-4000</c:v>
                </c:pt>
                <c:pt idx="18">
                  <c:v>-3500</c:v>
                </c:pt>
                <c:pt idx="19">
                  <c:v>-3000</c:v>
                </c:pt>
                <c:pt idx="20">
                  <c:v>-2500</c:v>
                </c:pt>
                <c:pt idx="21">
                  <c:v>-2000</c:v>
                </c:pt>
                <c:pt idx="22">
                  <c:v>-1500</c:v>
                </c:pt>
                <c:pt idx="23">
                  <c:v>-1000</c:v>
                </c:pt>
                <c:pt idx="24">
                  <c:v>-500</c:v>
                </c:pt>
                <c:pt idx="25">
                  <c:v>0</c:v>
                </c:pt>
                <c:pt idx="26">
                  <c:v>500</c:v>
                </c:pt>
                <c:pt idx="27">
                  <c:v>1000</c:v>
                </c:pt>
                <c:pt idx="28">
                  <c:v>1500</c:v>
                </c:pt>
                <c:pt idx="29">
                  <c:v>2000</c:v>
                </c:pt>
                <c:pt idx="30">
                  <c:v>2500</c:v>
                </c:pt>
                <c:pt idx="31">
                  <c:v>3000</c:v>
                </c:pt>
                <c:pt idx="32">
                  <c:v>3500</c:v>
                </c:pt>
                <c:pt idx="33">
                  <c:v>4000</c:v>
                </c:pt>
                <c:pt idx="34">
                  <c:v>4500</c:v>
                </c:pt>
              </c:numCache>
            </c:numRef>
          </c:xVal>
          <c:yVal>
            <c:numRef>
              <c:f>Active!$U$21:$U$55</c:f>
              <c:numCache>
                <c:formatCode>General</c:formatCode>
                <c:ptCount val="35"/>
                <c:pt idx="0">
                  <c:v>0.65563308984203106</c:v>
                </c:pt>
                <c:pt idx="1">
                  <c:v>0.6037422839643839</c:v>
                </c:pt>
                <c:pt idx="2">
                  <c:v>0.55398823623164362</c:v>
                </c:pt>
                <c:pt idx="3">
                  <c:v>0.50637094664381044</c:v>
                </c:pt>
                <c:pt idx="5">
                  <c:v>0.46089041520088442</c:v>
                </c:pt>
                <c:pt idx="6">
                  <c:v>0.4175466419028655</c:v>
                </c:pt>
                <c:pt idx="7">
                  <c:v>0.37633962674975363</c:v>
                </c:pt>
                <c:pt idx="8">
                  <c:v>0.33726936974154886</c:v>
                </c:pt>
                <c:pt idx="9">
                  <c:v>0.30033587087825114</c:v>
                </c:pt>
                <c:pt idx="10">
                  <c:v>0.26553913015986058</c:v>
                </c:pt>
                <c:pt idx="11">
                  <c:v>0.23287914758637704</c:v>
                </c:pt>
                <c:pt idx="12">
                  <c:v>0.20235592315780063</c:v>
                </c:pt>
                <c:pt idx="13">
                  <c:v>0.17396945687413129</c:v>
                </c:pt>
                <c:pt idx="14">
                  <c:v>0.14771974873536906</c:v>
                </c:pt>
                <c:pt idx="15">
                  <c:v>0.12360679874151391</c:v>
                </c:pt>
                <c:pt idx="16">
                  <c:v>0.10163060689256585</c:v>
                </c:pt>
                <c:pt idx="17">
                  <c:v>8.1791173188524871E-2</c:v>
                </c:pt>
                <c:pt idx="18">
                  <c:v>6.4088497629390978E-2</c:v>
                </c:pt>
                <c:pt idx="19">
                  <c:v>4.8522580215164188E-2</c:v>
                </c:pt>
                <c:pt idx="20">
                  <c:v>3.5093420945844479E-2</c:v>
                </c:pt>
                <c:pt idx="21">
                  <c:v>2.380101982143186E-2</c:v>
                </c:pt>
                <c:pt idx="22">
                  <c:v>1.4645376841926329E-2</c:v>
                </c:pt>
                <c:pt idx="23">
                  <c:v>7.6264920073278886E-3</c:v>
                </c:pt>
                <c:pt idx="24">
                  <c:v>2.7443653176365363E-3</c:v>
                </c:pt>
                <c:pt idx="25">
                  <c:v>-1.0032271477268624E-6</c:v>
                </c:pt>
                <c:pt idx="26">
                  <c:v>-6.0961362702490157E-4</c:v>
                </c:pt>
                <c:pt idx="27">
                  <c:v>9.1853411800501281E-4</c:v>
                </c:pt>
                <c:pt idx="28">
                  <c:v>4.5834400079420154E-3</c:v>
                </c:pt>
                <c:pt idx="29">
                  <c:v>1.0385104042786107E-2</c:v>
                </c:pt>
                <c:pt idx="30">
                  <c:v>1.8323526222537287E-2</c:v>
                </c:pt>
                <c:pt idx="31">
                  <c:v>2.8398706547195555E-2</c:v>
                </c:pt>
                <c:pt idx="32">
                  <c:v>4.0610645016760913E-2</c:v>
                </c:pt>
                <c:pt idx="33">
                  <c:v>5.4959341631233366E-2</c:v>
                </c:pt>
                <c:pt idx="34">
                  <c:v>7.1444796390612908E-2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4DD-41D3-907E-A4C44BD0D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390040"/>
        <c:axId val="1"/>
      </c:scatterChart>
      <c:valAx>
        <c:axId val="721390040"/>
        <c:scaling>
          <c:orientation val="minMax"/>
          <c:min val="-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93074792243766"/>
              <c:y val="0.868504097538266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91412742382273E-2"/>
              <c:y val="0.38532238516057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1390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313019390581719"/>
          <c:y val="0.9204921861831491"/>
          <c:w val="0.75069252077562332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542925</xdr:colOff>
      <xdr:row>0</xdr:row>
      <xdr:rowOff>0</xdr:rowOff>
    </xdr:from>
    <xdr:to>
      <xdr:col>26</xdr:col>
      <xdr:colOff>647700</xdr:colOff>
      <xdr:row>18</xdr:row>
      <xdr:rowOff>57150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44FA414-2F74-6363-20EE-AF2D70C20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104775</xdr:colOff>
      <xdr:row>0</xdr:row>
      <xdr:rowOff>9525</xdr:rowOff>
    </xdr:from>
    <xdr:to>
      <xdr:col>17</xdr:col>
      <xdr:colOff>476250</xdr:colOff>
      <xdr:row>18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B0F40C6-2B29-B0DE-D9C9-964CA817A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8" TargetMode="External"/><Relationship Id="rId13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4083" TargetMode="External"/><Relationship Id="rId7" Type="http://schemas.openxmlformats.org/officeDocument/2006/relationships/hyperlink" Target="http://vsolj.cetus-net.org/no44.pdf" TargetMode="External"/><Relationship Id="rId12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konkoly.hu/cgi-bin/IBVS?4083" TargetMode="External"/><Relationship Id="rId1" Type="http://schemas.openxmlformats.org/officeDocument/2006/relationships/hyperlink" Target="http://www.konkoly.hu/cgi-bin/IBVS?4083" TargetMode="External"/><Relationship Id="rId6" Type="http://schemas.openxmlformats.org/officeDocument/2006/relationships/hyperlink" Target="http://var.astro.cz/oejv/issues/oejv0003.pdf" TargetMode="External"/><Relationship Id="rId11" Type="http://schemas.openxmlformats.org/officeDocument/2006/relationships/hyperlink" Target="http://www.konkoly.hu/cgi-bin/IBVS?5894" TargetMode="External"/><Relationship Id="rId5" Type="http://schemas.openxmlformats.org/officeDocument/2006/relationships/hyperlink" Target="http://www.konkoly.hu/cgi-bin/IBVS?5690" TargetMode="External"/><Relationship Id="rId15" Type="http://schemas.openxmlformats.org/officeDocument/2006/relationships/hyperlink" Target="http://www.konkoly.hu/cgi-bin/IBVS?6042" TargetMode="External"/><Relationship Id="rId10" Type="http://schemas.openxmlformats.org/officeDocument/2006/relationships/hyperlink" Target="http://www.konkoly.hu/cgi-bin/IBVS?5870" TargetMode="External"/><Relationship Id="rId4" Type="http://schemas.openxmlformats.org/officeDocument/2006/relationships/hyperlink" Target="http://vsolj.cetus-net.org/no38.pdf" TargetMode="External"/><Relationship Id="rId9" Type="http://schemas.openxmlformats.org/officeDocument/2006/relationships/hyperlink" Target="http://vsolj.cetus-net.org/no48.pdf" TargetMode="External"/><Relationship Id="rId14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1"/>
  <sheetViews>
    <sheetView tabSelected="1" workbookViewId="0">
      <pane xSplit="13" ySplit="22" topLeftCell="N70" activePane="bottomRight" state="frozen"/>
      <selection pane="topRight" activeCell="N1" sqref="N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2" bestFit="1" customWidth="1"/>
    <col min="7" max="7" width="17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73</v>
      </c>
    </row>
    <row r="2" spans="1:7" s="5" customFormat="1" ht="12.95" customHeight="1" x14ac:dyDescent="0.2">
      <c r="A2" s="5" t="s">
        <v>25</v>
      </c>
      <c r="B2" s="40" t="s">
        <v>70</v>
      </c>
    </row>
    <row r="3" spans="1:7" s="5" customFormat="1" ht="12.95" customHeight="1" thickBot="1" x14ac:dyDescent="0.25">
      <c r="C3" s="41" t="s">
        <v>66</v>
      </c>
    </row>
    <row r="4" spans="1:7" s="5" customFormat="1" ht="12.95" customHeight="1" thickTop="1" thickBot="1" x14ac:dyDescent="0.25">
      <c r="A4" s="42" t="s">
        <v>0</v>
      </c>
      <c r="C4" s="43">
        <v>45680.512000000002</v>
      </c>
      <c r="D4" s="44">
        <v>1.9475290000000001</v>
      </c>
    </row>
    <row r="5" spans="1:7" s="5" customFormat="1" ht="12.95" customHeight="1" x14ac:dyDescent="0.2">
      <c r="A5" s="45" t="s">
        <v>375</v>
      </c>
      <c r="C5" s="46">
        <v>-9.5</v>
      </c>
    </row>
    <row r="6" spans="1:7" s="5" customFormat="1" ht="12.95" customHeight="1" x14ac:dyDescent="0.2">
      <c r="A6" s="42" t="s">
        <v>1</v>
      </c>
    </row>
    <row r="7" spans="1:7" s="5" customFormat="1" ht="12.95" customHeight="1" x14ac:dyDescent="0.2">
      <c r="A7" s="5" t="s">
        <v>2</v>
      </c>
      <c r="C7" s="5">
        <f>+C4</f>
        <v>45680.512000000002</v>
      </c>
    </row>
    <row r="8" spans="1:7" s="5" customFormat="1" ht="12.95" customHeight="1" x14ac:dyDescent="0.2">
      <c r="A8" s="5" t="s">
        <v>3</v>
      </c>
      <c r="C8" s="5">
        <f>+D4</f>
        <v>1.9475290000000001</v>
      </c>
    </row>
    <row r="9" spans="1:7" s="5" customFormat="1" ht="12.95" customHeight="1" x14ac:dyDescent="0.2">
      <c r="A9" s="47" t="s">
        <v>80</v>
      </c>
      <c r="B9" s="47"/>
      <c r="C9" s="47">
        <v>81</v>
      </c>
      <c r="D9" s="47" t="str">
        <f>"F"&amp;C9</f>
        <v>F81</v>
      </c>
      <c r="E9" s="47" t="str">
        <f>"G"&amp;C9</f>
        <v>G81</v>
      </c>
    </row>
    <row r="10" spans="1:7" s="5" customFormat="1" ht="12.95" customHeight="1" thickBot="1" x14ac:dyDescent="0.25">
      <c r="C10" s="48" t="s">
        <v>20</v>
      </c>
      <c r="D10" s="48" t="s">
        <v>21</v>
      </c>
    </row>
    <row r="11" spans="1:7" s="5" customFormat="1" ht="12.95" customHeight="1" x14ac:dyDescent="0.2">
      <c r="A11" s="5" t="s">
        <v>16</v>
      </c>
      <c r="C11" s="49">
        <f ca="1">INTERCEPT(INDIRECT(E9):G1005,INDIRECT(D9):$F1005)</f>
        <v>0.13246158138064634</v>
      </c>
      <c r="D11" s="8">
        <f>+E11*F11</f>
        <v>-1.0032271477268624E-6</v>
      </c>
      <c r="E11" s="50">
        <v>-1.0032271477268624</v>
      </c>
      <c r="F11" s="5">
        <v>9.9999999999999995E-7</v>
      </c>
    </row>
    <row r="12" spans="1:7" s="5" customFormat="1" ht="12.95" customHeight="1" x14ac:dyDescent="0.2">
      <c r="A12" s="5" t="s">
        <v>17</v>
      </c>
      <c r="C12" s="49">
        <f ca="1">SLOPE(INDIRECT(E9):G1005,INDIRECT(D9):$F1005)</f>
        <v>-3.0741299090028801E-5</v>
      </c>
      <c r="D12" s="8">
        <f>+E12*F12</f>
        <v>-3.3539789446614381E-6</v>
      </c>
      <c r="E12" s="51">
        <v>-3.3539789446614381</v>
      </c>
      <c r="F12" s="5">
        <v>9.9999999999999995E-7</v>
      </c>
    </row>
    <row r="13" spans="1:7" s="5" customFormat="1" ht="12.95" customHeight="1" thickBot="1" x14ac:dyDescent="0.25">
      <c r="A13" s="5" t="s">
        <v>19</v>
      </c>
      <c r="C13" s="8" t="s">
        <v>14</v>
      </c>
      <c r="D13" s="8">
        <f>+E13*F13</f>
        <v>4.2735162898141778E-9</v>
      </c>
      <c r="E13" s="52">
        <v>4.2735162898141779</v>
      </c>
      <c r="F13" s="5">
        <v>1.0000000000000001E-9</v>
      </c>
    </row>
    <row r="14" spans="1:7" s="5" customFormat="1" ht="12.95" customHeight="1" x14ac:dyDescent="0.2">
      <c r="A14" s="5" t="s">
        <v>24</v>
      </c>
      <c r="E14" s="5">
        <f>SUM(R21:R73)</f>
        <v>5.4412003066942362E-2</v>
      </c>
      <c r="F14" s="49" t="s">
        <v>369</v>
      </c>
      <c r="G14" s="53">
        <v>1</v>
      </c>
    </row>
    <row r="15" spans="1:7" s="5" customFormat="1" ht="12.95" customHeight="1" x14ac:dyDescent="0.2">
      <c r="A15" s="45" t="s">
        <v>18</v>
      </c>
      <c r="C15" s="54">
        <f ca="1">(C7+C11)+(C8+C12)*INT(MAX(F21:F3526))</f>
        <v>56245.822515033818</v>
      </c>
      <c r="D15" s="55">
        <f>+C7+INT(MAX(F21:F1588))*C8+D11+D12*INT(MAX(F21:F4023))+D13*INT(MAX(F21:F4050)^2)</f>
        <v>56245.96440091636</v>
      </c>
      <c r="F15" s="49" t="s">
        <v>370</v>
      </c>
      <c r="G15" s="54">
        <f ca="1">NOW()+15018.5+$C$5/24</f>
        <v>60368.801825694442</v>
      </c>
    </row>
    <row r="16" spans="1:7" s="5" customFormat="1" ht="12.95" customHeight="1" x14ac:dyDescent="0.2">
      <c r="A16" s="42" t="s">
        <v>4</v>
      </c>
      <c r="C16" s="56">
        <f ca="1">+C8+C12</f>
        <v>1.94749825870091</v>
      </c>
      <c r="D16" s="55">
        <f>+C8+D12+2*D13*F90</f>
        <v>1.9475719025613765</v>
      </c>
      <c r="F16" s="49" t="s">
        <v>371</v>
      </c>
      <c r="G16" s="55">
        <f ca="1">ROUND(2*(G15-$C$7)/$C$8,0)/2+G14</f>
        <v>7543</v>
      </c>
    </row>
    <row r="17" spans="1:21" s="5" customFormat="1" ht="12.95" customHeight="1" thickBot="1" x14ac:dyDescent="0.25">
      <c r="A17" s="49" t="s">
        <v>72</v>
      </c>
      <c r="C17" s="5">
        <f>COUNT(C21:C2184)</f>
        <v>71</v>
      </c>
      <c r="F17" s="49" t="s">
        <v>372</v>
      </c>
      <c r="G17" s="55">
        <f ca="1">ROUND(2*(G15-$C$15)/$C$16,0)/2+G14</f>
        <v>2118</v>
      </c>
    </row>
    <row r="18" spans="1:21" s="5" customFormat="1" ht="12.95" customHeight="1" thickTop="1" thickBot="1" x14ac:dyDescent="0.25">
      <c r="A18" s="42" t="s">
        <v>5</v>
      </c>
      <c r="C18" s="43">
        <f ca="1">+C15</f>
        <v>56245.822515033818</v>
      </c>
      <c r="D18" s="44">
        <f ca="1">+C16</f>
        <v>1.94749825870091</v>
      </c>
      <c r="E18" s="47" t="s">
        <v>20</v>
      </c>
      <c r="F18" s="49" t="s">
        <v>373</v>
      </c>
      <c r="G18" s="57">
        <f ca="1">+$C$15+$C$16*G17-15018.5-$C$5/24</f>
        <v>45352.519660295678</v>
      </c>
    </row>
    <row r="19" spans="1:21" s="5" customFormat="1" ht="12.95" customHeight="1" thickTop="1" thickBot="1" x14ac:dyDescent="0.25">
      <c r="A19" s="42" t="s">
        <v>76</v>
      </c>
      <c r="C19" s="58">
        <f>+D15</f>
        <v>56245.96440091636</v>
      </c>
      <c r="D19" s="59">
        <f>+D16</f>
        <v>1.9475719025613765</v>
      </c>
      <c r="E19" s="60" t="s">
        <v>77</v>
      </c>
      <c r="G19" s="61" t="s">
        <v>374</v>
      </c>
    </row>
    <row r="20" spans="1:21" s="5" customFormat="1" ht="12.95" customHeight="1" thickBot="1" x14ac:dyDescent="0.25">
      <c r="A20" s="48" t="s">
        <v>6</v>
      </c>
      <c r="B20" s="48" t="s">
        <v>7</v>
      </c>
      <c r="C20" s="48" t="s">
        <v>8</v>
      </c>
      <c r="D20" s="48" t="s">
        <v>13</v>
      </c>
      <c r="E20" s="48" t="s">
        <v>9</v>
      </c>
      <c r="F20" s="48" t="s">
        <v>10</v>
      </c>
      <c r="G20" s="48" t="s">
        <v>11</v>
      </c>
      <c r="H20" s="62" t="s">
        <v>12</v>
      </c>
      <c r="I20" s="62" t="s">
        <v>376</v>
      </c>
      <c r="J20" s="62" t="s">
        <v>377</v>
      </c>
      <c r="K20" s="62" t="s">
        <v>89</v>
      </c>
      <c r="L20" s="62" t="s">
        <v>26</v>
      </c>
      <c r="M20" s="62" t="s">
        <v>27</v>
      </c>
      <c r="N20" s="62" t="s">
        <v>28</v>
      </c>
      <c r="O20" s="62" t="s">
        <v>23</v>
      </c>
      <c r="P20" s="63" t="s">
        <v>22</v>
      </c>
      <c r="Q20" s="48" t="s">
        <v>15</v>
      </c>
      <c r="T20" s="48" t="s">
        <v>10</v>
      </c>
      <c r="U20" s="63" t="s">
        <v>22</v>
      </c>
    </row>
    <row r="21" spans="1:21" s="5" customFormat="1" ht="12.95" customHeight="1" x14ac:dyDescent="0.2">
      <c r="A21" s="10" t="s">
        <v>61</v>
      </c>
      <c r="B21" s="10"/>
      <c r="C21" s="6">
        <v>26988.576000000001</v>
      </c>
      <c r="D21" s="6" t="s">
        <v>62</v>
      </c>
      <c r="E21" s="5">
        <f t="shared" ref="E21:E52" si="0">+(C21-C$7)/C$8</f>
        <v>-9597.7703027785465</v>
      </c>
      <c r="F21" s="5">
        <f t="shared" ref="F21:F52" si="1">ROUND(2*E21,0)/2</f>
        <v>-9598</v>
      </c>
      <c r="G21" s="5">
        <f t="shared" ref="G21:G52" si="2">+C21-(C$7+F21*C$8)</f>
        <v>0.44734199999948032</v>
      </c>
      <c r="I21" s="5">
        <f>+G21</f>
        <v>0.44734199999948032</v>
      </c>
      <c r="Q21" s="7">
        <f t="shared" ref="Q21:Q52" si="3">+C21-15018.5</f>
        <v>11970.076000000001</v>
      </c>
      <c r="R21" s="5">
        <f>+(U21-G21)^2</f>
        <v>4.3385178107797545E-2</v>
      </c>
      <c r="T21" s="5">
        <v>-12000</v>
      </c>
      <c r="U21" s="5">
        <f>+D$11+D$12*T21+D$13*T21^2</f>
        <v>0.65563308984203106</v>
      </c>
    </row>
    <row r="22" spans="1:21" s="5" customFormat="1" ht="12.95" customHeight="1" x14ac:dyDescent="0.2">
      <c r="A22" s="10" t="s">
        <v>61</v>
      </c>
      <c r="B22" s="11"/>
      <c r="C22" s="6">
        <v>27360.525000000001</v>
      </c>
      <c r="D22" s="6"/>
      <c r="E22" s="5">
        <f t="shared" si="0"/>
        <v>-9406.7852134679379</v>
      </c>
      <c r="F22" s="5">
        <f t="shared" si="1"/>
        <v>-9407</v>
      </c>
      <c r="G22" s="5">
        <f t="shared" si="2"/>
        <v>0.41830299999855924</v>
      </c>
      <c r="I22" s="5">
        <f>+G22</f>
        <v>0.41830299999855924</v>
      </c>
      <c r="P22" s="5">
        <f t="shared" ref="P22:P53" si="4">+D$11+D$12*F22+D$13*F22^2</f>
        <v>0.40972038021930091</v>
      </c>
      <c r="Q22" s="7">
        <f t="shared" si="3"/>
        <v>12342.025000000001</v>
      </c>
      <c r="R22" s="5">
        <f t="shared" ref="R22:R53" si="5">+(P22-G22)^2</f>
        <v>7.3661362275316447E-5</v>
      </c>
      <c r="T22" s="5">
        <v>-11500</v>
      </c>
      <c r="U22" s="5">
        <f>+D$11+D$12*T22+D$13*T22^2</f>
        <v>0.6037422839643839</v>
      </c>
    </row>
    <row r="23" spans="1:21" s="5" customFormat="1" ht="12.95" customHeight="1" x14ac:dyDescent="0.2">
      <c r="A23" s="10" t="s">
        <v>61</v>
      </c>
      <c r="B23" s="11"/>
      <c r="C23" s="6">
        <v>27479.292000000001</v>
      </c>
      <c r="D23" s="6"/>
      <c r="E23" s="5">
        <f t="shared" si="0"/>
        <v>-9345.8017826692194</v>
      </c>
      <c r="F23" s="5">
        <f t="shared" si="1"/>
        <v>-9346</v>
      </c>
      <c r="G23" s="5">
        <f t="shared" si="2"/>
        <v>0.3860339999991993</v>
      </c>
      <c r="I23" s="5">
        <f>+G23</f>
        <v>0.3860339999991993</v>
      </c>
      <c r="P23" s="5">
        <f t="shared" si="4"/>
        <v>0.40462717119372055</v>
      </c>
      <c r="Q23" s="7">
        <f t="shared" si="3"/>
        <v>12460.792000000001</v>
      </c>
      <c r="R23" s="5">
        <f t="shared" si="5"/>
        <v>3.4570601506877483E-4</v>
      </c>
      <c r="T23" s="5">
        <v>-11000</v>
      </c>
      <c r="U23" s="5">
        <f>+D$11+D$12*T23+D$13*T23^2</f>
        <v>0.55398823623164362</v>
      </c>
    </row>
    <row r="24" spans="1:21" s="5" customFormat="1" ht="12.95" customHeight="1" x14ac:dyDescent="0.2">
      <c r="A24" s="10" t="s">
        <v>63</v>
      </c>
      <c r="B24" s="11"/>
      <c r="C24" s="6">
        <v>27773.39</v>
      </c>
      <c r="D24" s="6" t="s">
        <v>30</v>
      </c>
      <c r="E24" s="5">
        <f t="shared" si="0"/>
        <v>-9194.790937644575</v>
      </c>
      <c r="F24" s="5">
        <f t="shared" si="1"/>
        <v>-9195</v>
      </c>
      <c r="G24" s="5">
        <f t="shared" si="2"/>
        <v>0.40715499999714666</v>
      </c>
      <c r="I24" s="5">
        <f>+G24</f>
        <v>0.40715499999714666</v>
      </c>
      <c r="P24" s="5">
        <f t="shared" si="4"/>
        <v>0.39215619527813056</v>
      </c>
      <c r="Q24" s="7">
        <f t="shared" si="3"/>
        <v>12754.89</v>
      </c>
      <c r="R24" s="5">
        <f t="shared" si="5"/>
        <v>2.2496414299917966E-4</v>
      </c>
      <c r="T24" s="5">
        <v>-10500</v>
      </c>
      <c r="U24" s="5">
        <f>+D$11+D$12*T24+D$13*T24^2</f>
        <v>0.50637094664381044</v>
      </c>
    </row>
    <row r="25" spans="1:21" s="5" customFormat="1" ht="12.95" customHeight="1" x14ac:dyDescent="0.2">
      <c r="A25" s="37" t="s">
        <v>119</v>
      </c>
      <c r="B25" s="39" t="s">
        <v>65</v>
      </c>
      <c r="C25" s="38">
        <v>28188.191999999999</v>
      </c>
      <c r="D25" s="3"/>
      <c r="E25" s="5">
        <f t="shared" si="0"/>
        <v>-8981.8020681591915</v>
      </c>
      <c r="F25" s="5">
        <f t="shared" si="1"/>
        <v>-8982</v>
      </c>
      <c r="G25" s="5">
        <f t="shared" si="2"/>
        <v>0.38547799999651033</v>
      </c>
      <c r="I25" s="5">
        <f>+G25</f>
        <v>0.38547799999651033</v>
      </c>
      <c r="O25" s="5">
        <f ca="1">+C$11+C$12*$F25</f>
        <v>0.40857992980728502</v>
      </c>
      <c r="P25" s="5">
        <f t="shared" si="4"/>
        <v>0.37489602047012782</v>
      </c>
      <c r="Q25" s="7">
        <f t="shared" si="3"/>
        <v>13169.691999999999</v>
      </c>
      <c r="R25" s="5">
        <f t="shared" si="5"/>
        <v>1.1197829069677866E-4</v>
      </c>
    </row>
    <row r="26" spans="1:21" s="5" customFormat="1" ht="12.75" customHeight="1" x14ac:dyDescent="0.2">
      <c r="A26" s="10" t="s">
        <v>64</v>
      </c>
      <c r="B26" s="11"/>
      <c r="C26" s="6">
        <v>33744.300000000003</v>
      </c>
      <c r="D26" s="6" t="s">
        <v>30</v>
      </c>
      <c r="E26" s="5">
        <f t="shared" si="0"/>
        <v>-6128.9007763170657</v>
      </c>
      <c r="F26" s="5">
        <f t="shared" si="1"/>
        <v>-6129</v>
      </c>
      <c r="G26" s="5">
        <f t="shared" si="2"/>
        <v>0.19324100000085309</v>
      </c>
      <c r="I26" s="5">
        <f>+G26</f>
        <v>0.19324100000085309</v>
      </c>
      <c r="P26" s="5">
        <f t="shared" si="4"/>
        <v>0.18108863895920377</v>
      </c>
      <c r="Q26" s="7">
        <f t="shared" si="3"/>
        <v>18725.800000000003</v>
      </c>
      <c r="R26" s="5">
        <f t="shared" si="5"/>
        <v>1.4767987888659624E-4</v>
      </c>
      <c r="T26" s="5">
        <v>-10000</v>
      </c>
      <c r="U26" s="5">
        <f t="shared" ref="U26:U56" si="6">+D$11+D$12*T26+D$13*T26^2</f>
        <v>0.46089041520088442</v>
      </c>
    </row>
    <row r="27" spans="1:21" s="5" customFormat="1" ht="12.75" customHeight="1" x14ac:dyDescent="0.2">
      <c r="A27" s="10" t="s">
        <v>64</v>
      </c>
      <c r="B27" s="11"/>
      <c r="C27" s="6">
        <v>34661.510999999999</v>
      </c>
      <c r="D27" s="6"/>
      <c r="E27" s="5">
        <f t="shared" si="0"/>
        <v>-5657.9393682969567</v>
      </c>
      <c r="F27" s="5">
        <f t="shared" si="1"/>
        <v>-5658</v>
      </c>
      <c r="G27" s="5">
        <f t="shared" si="2"/>
        <v>0.11808200000086799</v>
      </c>
      <c r="I27" s="5">
        <f>+G27</f>
        <v>0.11808200000086799</v>
      </c>
      <c r="P27" s="5">
        <f t="shared" si="4"/>
        <v>0.15578373278098154</v>
      </c>
      <c r="Q27" s="7">
        <f t="shared" si="3"/>
        <v>19643.010999999999</v>
      </c>
      <c r="R27" s="5">
        <f t="shared" si="5"/>
        <v>1.4214206546230882E-3</v>
      </c>
      <c r="T27" s="5">
        <v>-9500</v>
      </c>
      <c r="U27" s="5">
        <f t="shared" si="6"/>
        <v>0.4175466419028655</v>
      </c>
    </row>
    <row r="28" spans="1:21" s="5" customFormat="1" ht="12.75" customHeight="1" x14ac:dyDescent="0.2">
      <c r="A28" s="10" t="s">
        <v>64</v>
      </c>
      <c r="B28" s="11"/>
      <c r="C28" s="6">
        <v>36630.394</v>
      </c>
      <c r="D28" s="6"/>
      <c r="E28" s="5">
        <f t="shared" si="0"/>
        <v>-4646.9747048696072</v>
      </c>
      <c r="F28" s="5">
        <f t="shared" si="1"/>
        <v>-4647</v>
      </c>
      <c r="G28" s="5">
        <f t="shared" si="2"/>
        <v>4.926300000079209E-2</v>
      </c>
      <c r="I28" s="5">
        <f>+G28</f>
        <v>4.926300000079209E-2</v>
      </c>
      <c r="P28" s="5">
        <f t="shared" si="4"/>
        <v>0.10786985026236183</v>
      </c>
      <c r="Q28" s="7">
        <f t="shared" si="3"/>
        <v>21611.894</v>
      </c>
      <c r="R28" s="5">
        <f t="shared" si="5"/>
        <v>3.4347628975820569E-3</v>
      </c>
      <c r="T28" s="5">
        <v>-9000</v>
      </c>
      <c r="U28" s="5">
        <f t="shared" si="6"/>
        <v>0.37633962674975363</v>
      </c>
    </row>
    <row r="29" spans="1:21" s="5" customFormat="1" ht="12.75" customHeight="1" x14ac:dyDescent="0.2">
      <c r="A29" s="10" t="s">
        <v>29</v>
      </c>
      <c r="B29" s="11"/>
      <c r="C29" s="6">
        <v>42866.336000000003</v>
      </c>
      <c r="D29" s="6"/>
      <c r="E29" s="5">
        <f t="shared" si="0"/>
        <v>-1444.9982516306557</v>
      </c>
      <c r="F29" s="5">
        <f t="shared" si="1"/>
        <v>-1445</v>
      </c>
      <c r="G29" s="5">
        <f t="shared" si="2"/>
        <v>3.4050000031129457E-3</v>
      </c>
      <c r="I29" s="5">
        <f t="shared" ref="I29:I47" si="7">+G29</f>
        <v>3.4050000031129457E-3</v>
      </c>
      <c r="P29" s="5">
        <f t="shared" si="4"/>
        <v>1.3768705198927299E-2</v>
      </c>
      <c r="Q29" s="7">
        <f t="shared" si="3"/>
        <v>27847.836000000003</v>
      </c>
      <c r="R29" s="5">
        <f t="shared" si="5"/>
        <v>1.0740638538574943E-4</v>
      </c>
      <c r="T29" s="5">
        <v>-8500</v>
      </c>
      <c r="U29" s="5">
        <f t="shared" si="6"/>
        <v>0.33726936974154886</v>
      </c>
    </row>
    <row r="30" spans="1:21" s="5" customFormat="1" ht="12.75" customHeight="1" x14ac:dyDescent="0.2">
      <c r="A30" s="5" t="s">
        <v>31</v>
      </c>
      <c r="B30" s="8"/>
      <c r="C30" s="6">
        <v>43127.300999999999</v>
      </c>
      <c r="D30" s="6"/>
      <c r="E30" s="5">
        <f t="shared" si="0"/>
        <v>-1311.0002469796357</v>
      </c>
      <c r="F30" s="5">
        <f t="shared" si="1"/>
        <v>-1311</v>
      </c>
      <c r="G30" s="5">
        <f t="shared" si="2"/>
        <v>-4.8100000276463106E-4</v>
      </c>
      <c r="I30" s="5">
        <f t="shared" si="7"/>
        <v>-4.8100000276463106E-4</v>
      </c>
      <c r="P30" s="5">
        <f t="shared" si="4"/>
        <v>1.1741045360449131E-2</v>
      </c>
      <c r="Q30" s="7">
        <f t="shared" si="3"/>
        <v>28108.800999999999</v>
      </c>
      <c r="R30" s="5">
        <f t="shared" si="5"/>
        <v>1.4937839286045503E-4</v>
      </c>
      <c r="T30" s="5">
        <v>-8000</v>
      </c>
      <c r="U30" s="5">
        <f t="shared" si="6"/>
        <v>0.30033587087825114</v>
      </c>
    </row>
    <row r="31" spans="1:21" s="5" customFormat="1" ht="12.75" customHeight="1" x14ac:dyDescent="0.2">
      <c r="A31" s="5" t="s">
        <v>32</v>
      </c>
      <c r="B31" s="8"/>
      <c r="C31" s="6">
        <v>43456.436000000002</v>
      </c>
      <c r="D31" s="6"/>
      <c r="E31" s="5">
        <f t="shared" si="0"/>
        <v>-1141.998912468056</v>
      </c>
      <c r="F31" s="5">
        <f t="shared" si="1"/>
        <v>-1142</v>
      </c>
      <c r="G31" s="5">
        <f t="shared" si="2"/>
        <v>2.1179999966989271E-3</v>
      </c>
      <c r="I31" s="5">
        <f t="shared" si="7"/>
        <v>2.1179999966989271E-3</v>
      </c>
      <c r="P31" s="5">
        <f t="shared" si="4"/>
        <v>9.4026068262448529E-3</v>
      </c>
      <c r="Q31" s="7">
        <f t="shared" si="3"/>
        <v>28437.936000000002</v>
      </c>
      <c r="R31" s="5">
        <f t="shared" si="5"/>
        <v>5.3065496661067146E-5</v>
      </c>
      <c r="T31" s="5">
        <v>-7500</v>
      </c>
      <c r="U31" s="5">
        <f t="shared" si="6"/>
        <v>0.26553913015986058</v>
      </c>
    </row>
    <row r="32" spans="1:21" s="5" customFormat="1" ht="12.75" customHeight="1" x14ac:dyDescent="0.2">
      <c r="A32" s="5" t="s">
        <v>33</v>
      </c>
      <c r="B32" s="8"/>
      <c r="C32" s="6">
        <v>43783.620999999999</v>
      </c>
      <c r="D32" s="6"/>
      <c r="E32" s="5">
        <f t="shared" si="0"/>
        <v>-973.99884674374721</v>
      </c>
      <c r="F32" s="5">
        <f t="shared" si="1"/>
        <v>-974</v>
      </c>
      <c r="G32" s="5">
        <f t="shared" si="2"/>
        <v>2.2459999963757582E-3</v>
      </c>
      <c r="I32" s="5">
        <f t="shared" si="7"/>
        <v>2.2459999963757582E-3</v>
      </c>
      <c r="P32" s="5">
        <f t="shared" si="4"/>
        <v>7.3199546047082687E-3</v>
      </c>
      <c r="Q32" s="7">
        <f t="shared" si="3"/>
        <v>28765.120999999999</v>
      </c>
      <c r="R32" s="5">
        <f t="shared" si="5"/>
        <v>2.5745015367418721E-5</v>
      </c>
      <c r="T32" s="5">
        <v>-7000</v>
      </c>
      <c r="U32" s="5">
        <f t="shared" si="6"/>
        <v>0.23287914758637704</v>
      </c>
    </row>
    <row r="33" spans="1:21" s="5" customFormat="1" ht="12.75" customHeight="1" x14ac:dyDescent="0.2">
      <c r="A33" s="5" t="s">
        <v>34</v>
      </c>
      <c r="B33" s="8"/>
      <c r="C33" s="6">
        <v>43828.434999999998</v>
      </c>
      <c r="D33" s="6"/>
      <c r="E33" s="5">
        <f t="shared" si="0"/>
        <v>-950.98814959880167</v>
      </c>
      <c r="F33" s="5">
        <f t="shared" si="1"/>
        <v>-951</v>
      </c>
      <c r="G33" s="5">
        <f t="shared" si="2"/>
        <v>2.3078999998688232E-2</v>
      </c>
      <c r="I33" s="5">
        <f t="shared" si="7"/>
        <v>2.3078999998688232E-2</v>
      </c>
      <c r="P33" s="5">
        <f t="shared" si="4"/>
        <v>7.0536031552495323E-3</v>
      </c>
      <c r="Q33" s="7">
        <f t="shared" si="3"/>
        <v>28809.934999999998</v>
      </c>
      <c r="R33" s="5">
        <f t="shared" si="5"/>
        <v>2.5681334398969501E-4</v>
      </c>
      <c r="T33" s="5">
        <v>-6500</v>
      </c>
      <c r="U33" s="5">
        <f t="shared" si="6"/>
        <v>0.20235592315780063</v>
      </c>
    </row>
    <row r="34" spans="1:21" s="5" customFormat="1" ht="12.75" customHeight="1" x14ac:dyDescent="0.2">
      <c r="A34" s="5" t="s">
        <v>35</v>
      </c>
      <c r="B34" s="8"/>
      <c r="C34" s="6">
        <v>43941.385000000002</v>
      </c>
      <c r="D34" s="6"/>
      <c r="E34" s="5">
        <f t="shared" si="0"/>
        <v>-892.99158061317723</v>
      </c>
      <c r="F34" s="5">
        <f t="shared" si="1"/>
        <v>-893</v>
      </c>
      <c r="G34" s="5">
        <f t="shared" si="2"/>
        <v>1.6396999999415129E-2</v>
      </c>
      <c r="I34" s="5">
        <f t="shared" si="7"/>
        <v>1.6396999999415129E-2</v>
      </c>
      <c r="P34" s="5">
        <f t="shared" si="4"/>
        <v>6.4020112622309635E-3</v>
      </c>
      <c r="Q34" s="7">
        <f t="shared" si="3"/>
        <v>28922.885000000002</v>
      </c>
      <c r="R34" s="5">
        <f t="shared" si="5"/>
        <v>9.9899799856438326E-5</v>
      </c>
      <c r="T34" s="5">
        <v>-6000</v>
      </c>
      <c r="U34" s="5">
        <f t="shared" si="6"/>
        <v>0.17396945687413129</v>
      </c>
    </row>
    <row r="35" spans="1:21" s="5" customFormat="1" ht="12.75" customHeight="1" x14ac:dyDescent="0.2">
      <c r="A35" s="5" t="s">
        <v>36</v>
      </c>
      <c r="B35" s="8"/>
      <c r="C35" s="6">
        <v>44118.593000000001</v>
      </c>
      <c r="D35" s="6"/>
      <c r="E35" s="5">
        <f t="shared" si="0"/>
        <v>-802.00038099561118</v>
      </c>
      <c r="F35" s="5">
        <f t="shared" si="1"/>
        <v>-802</v>
      </c>
      <c r="G35" s="5">
        <f t="shared" si="2"/>
        <v>-7.4200000381097198E-4</v>
      </c>
      <c r="I35" s="5">
        <f t="shared" si="7"/>
        <v>-7.4200000381097198E-4</v>
      </c>
      <c r="P35" s="5">
        <f t="shared" si="4"/>
        <v>5.4376306581443851E-3</v>
      </c>
      <c r="Q35" s="7">
        <f t="shared" si="3"/>
        <v>29100.093000000001</v>
      </c>
      <c r="R35" s="5">
        <f t="shared" si="5"/>
        <v>3.8187835118178805E-5</v>
      </c>
      <c r="T35" s="5">
        <v>-5500</v>
      </c>
      <c r="U35" s="5">
        <f t="shared" si="6"/>
        <v>0.14771974873536906</v>
      </c>
    </row>
    <row r="36" spans="1:21" s="5" customFormat="1" ht="12.75" customHeight="1" x14ac:dyDescent="0.2">
      <c r="A36" s="5" t="s">
        <v>37</v>
      </c>
      <c r="B36" s="8"/>
      <c r="C36" s="6">
        <v>44278.298999999999</v>
      </c>
      <c r="D36" s="6"/>
      <c r="E36" s="5">
        <f t="shared" si="0"/>
        <v>-719.99595384715883</v>
      </c>
      <c r="F36" s="5">
        <f t="shared" si="1"/>
        <v>-720</v>
      </c>
      <c r="G36" s="5">
        <f t="shared" si="2"/>
        <v>7.8799999973853119E-3</v>
      </c>
      <c r="I36" s="5">
        <f t="shared" si="7"/>
        <v>7.8799999973853119E-3</v>
      </c>
      <c r="P36" s="5">
        <f t="shared" si="4"/>
        <v>4.6292524576481784E-3</v>
      </c>
      <c r="Q36" s="7">
        <f t="shared" si="3"/>
        <v>29259.798999999999</v>
      </c>
      <c r="R36" s="5">
        <f t="shared" si="5"/>
        <v>1.0567359567107026E-5</v>
      </c>
      <c r="T36" s="5">
        <v>-5000</v>
      </c>
      <c r="U36" s="5">
        <f t="shared" si="6"/>
        <v>0.12360679874151391</v>
      </c>
    </row>
    <row r="37" spans="1:21" s="5" customFormat="1" ht="12.75" customHeight="1" x14ac:dyDescent="0.2">
      <c r="A37" s="5" t="s">
        <v>38</v>
      </c>
      <c r="B37" s="8"/>
      <c r="C37" s="6">
        <v>44564.597000000002</v>
      </c>
      <c r="D37" s="6"/>
      <c r="E37" s="5">
        <f t="shared" si="0"/>
        <v>-572.99018397158704</v>
      </c>
      <c r="F37" s="5">
        <f t="shared" si="1"/>
        <v>-573</v>
      </c>
      <c r="G37" s="5">
        <f t="shared" si="2"/>
        <v>1.9116999996185768E-2</v>
      </c>
      <c r="I37" s="5">
        <f t="shared" si="7"/>
        <v>1.9116999996185768E-2</v>
      </c>
      <c r="P37" s="5">
        <f t="shared" si="4"/>
        <v>3.3239460380616766E-3</v>
      </c>
      <c r="Q37" s="7">
        <f t="shared" si="3"/>
        <v>29546.097000000002</v>
      </c>
      <c r="R37" s="5">
        <f t="shared" si="5"/>
        <v>2.4942055332421905E-4</v>
      </c>
      <c r="T37" s="5">
        <v>-4500</v>
      </c>
      <c r="U37" s="5">
        <f t="shared" si="6"/>
        <v>0.10163060689256585</v>
      </c>
    </row>
    <row r="38" spans="1:21" s="5" customFormat="1" ht="12.75" customHeight="1" x14ac:dyDescent="0.2">
      <c r="A38" s="5" t="s">
        <v>38</v>
      </c>
      <c r="B38" s="8"/>
      <c r="C38" s="6">
        <v>44566.525999999998</v>
      </c>
      <c r="D38" s="6"/>
      <c r="E38" s="5">
        <f t="shared" si="0"/>
        <v>-571.99969807895252</v>
      </c>
      <c r="F38" s="5">
        <f t="shared" si="1"/>
        <v>-572</v>
      </c>
      <c r="G38" s="5">
        <f t="shared" si="2"/>
        <v>5.8799999533221126E-4</v>
      </c>
      <c r="I38" s="5">
        <f t="shared" si="7"/>
        <v>5.8799999533221126E-4</v>
      </c>
      <c r="P38" s="5">
        <f t="shared" si="4"/>
        <v>3.3156988829651777E-3</v>
      </c>
      <c r="Q38" s="7">
        <f t="shared" si="3"/>
        <v>29548.025999999998</v>
      </c>
      <c r="R38" s="5">
        <f t="shared" si="5"/>
        <v>7.4403412215941225E-6</v>
      </c>
      <c r="T38" s="5">
        <v>-4000</v>
      </c>
      <c r="U38" s="5">
        <f t="shared" si="6"/>
        <v>8.1791173188524871E-2</v>
      </c>
    </row>
    <row r="39" spans="1:21" s="5" customFormat="1" ht="12.75" customHeight="1" x14ac:dyDescent="0.2">
      <c r="A39" s="5" t="s">
        <v>39</v>
      </c>
      <c r="B39" s="8"/>
      <c r="C39" s="6">
        <v>44603.538999999997</v>
      </c>
      <c r="D39" s="6"/>
      <c r="E39" s="5">
        <f t="shared" si="0"/>
        <v>-552.99458955425325</v>
      </c>
      <c r="F39" s="5">
        <f t="shared" si="1"/>
        <v>-553</v>
      </c>
      <c r="G39" s="5">
        <f t="shared" si="2"/>
        <v>1.0536999994656071E-2</v>
      </c>
      <c r="I39" s="5">
        <f t="shared" si="7"/>
        <v>1.0536999994656071E-2</v>
      </c>
      <c r="P39" s="5">
        <f t="shared" si="4"/>
        <v>3.1606268723218325E-3</v>
      </c>
      <c r="Q39" s="7">
        <f t="shared" si="3"/>
        <v>29585.038999999997</v>
      </c>
      <c r="R39" s="5">
        <f t="shared" si="5"/>
        <v>5.4410880439894963E-5</v>
      </c>
      <c r="T39" s="5">
        <v>-3500</v>
      </c>
      <c r="U39" s="5">
        <f t="shared" si="6"/>
        <v>6.4088497629390978E-2</v>
      </c>
    </row>
    <row r="40" spans="1:21" s="5" customFormat="1" ht="12.75" customHeight="1" x14ac:dyDescent="0.2">
      <c r="A40" s="5" t="s">
        <v>39</v>
      </c>
      <c r="B40" s="8"/>
      <c r="C40" s="6">
        <v>44607.423999999999</v>
      </c>
      <c r="D40" s="6"/>
      <c r="E40" s="5">
        <f t="shared" si="0"/>
        <v>-550.99975404730992</v>
      </c>
      <c r="F40" s="5">
        <f t="shared" si="1"/>
        <v>-551</v>
      </c>
      <c r="G40" s="5">
        <f t="shared" si="2"/>
        <v>4.7899999481160194E-4</v>
      </c>
      <c r="I40" s="5">
        <f t="shared" si="7"/>
        <v>4.7899999481160194E-4</v>
      </c>
      <c r="P40" s="5">
        <f t="shared" si="4"/>
        <v>3.1444829904645998E-3</v>
      </c>
      <c r="Q40" s="7">
        <f t="shared" si="3"/>
        <v>29588.923999999999</v>
      </c>
      <c r="R40" s="5">
        <f t="shared" si="5"/>
        <v>7.104799600115279E-6</v>
      </c>
      <c r="T40" s="5">
        <v>-3000</v>
      </c>
      <c r="U40" s="5">
        <f t="shared" si="6"/>
        <v>4.8522580215164188E-2</v>
      </c>
    </row>
    <row r="41" spans="1:21" s="5" customFormat="1" ht="12.75" customHeight="1" x14ac:dyDescent="0.2">
      <c r="A41" s="5" t="s">
        <v>39</v>
      </c>
      <c r="B41" s="8"/>
      <c r="C41" s="6">
        <v>44613.264000000003</v>
      </c>
      <c r="D41" s="6"/>
      <c r="E41" s="5">
        <f t="shared" si="0"/>
        <v>-548.00108239723238</v>
      </c>
      <c r="F41" s="5">
        <f t="shared" si="1"/>
        <v>-548</v>
      </c>
      <c r="G41" s="5">
        <f t="shared" si="2"/>
        <v>-2.1080000005895272E-3</v>
      </c>
      <c r="I41" s="5">
        <f t="shared" si="7"/>
        <v>-2.1080000005895272E-3</v>
      </c>
      <c r="P41" s="5">
        <f t="shared" si="4"/>
        <v>3.120331270423098E-3</v>
      </c>
      <c r="Q41" s="7">
        <f t="shared" si="3"/>
        <v>29594.764000000003</v>
      </c>
      <c r="R41" s="5">
        <f t="shared" si="5"/>
        <v>2.7335447879448489E-5</v>
      </c>
      <c r="T41" s="5">
        <v>-2500</v>
      </c>
      <c r="U41" s="5">
        <f t="shared" si="6"/>
        <v>3.5093420945844479E-2</v>
      </c>
    </row>
    <row r="42" spans="1:21" s="5" customFormat="1" ht="12.75" customHeight="1" x14ac:dyDescent="0.2">
      <c r="A42" s="5" t="s">
        <v>40</v>
      </c>
      <c r="B42" s="8"/>
      <c r="C42" s="6">
        <v>44642.474999999999</v>
      </c>
      <c r="D42" s="6"/>
      <c r="E42" s="5">
        <f t="shared" si="0"/>
        <v>-533.00207596395421</v>
      </c>
      <c r="F42" s="5">
        <f t="shared" si="1"/>
        <v>-533</v>
      </c>
      <c r="G42" s="5">
        <f t="shared" si="2"/>
        <v>-4.0430000008200295E-3</v>
      </c>
      <c r="I42" s="5">
        <f t="shared" si="7"/>
        <v>-4.0430000008200295E-3</v>
      </c>
      <c r="P42" s="5">
        <f t="shared" si="4"/>
        <v>3.0007265196138394E-3</v>
      </c>
      <c r="Q42" s="7">
        <f t="shared" si="3"/>
        <v>29623.974999999999</v>
      </c>
      <c r="R42" s="5">
        <f t="shared" si="5"/>
        <v>4.961408329466342E-5</v>
      </c>
      <c r="T42" s="5">
        <v>-2000</v>
      </c>
      <c r="U42" s="5">
        <f t="shared" si="6"/>
        <v>2.380101982143186E-2</v>
      </c>
    </row>
    <row r="43" spans="1:21" s="5" customFormat="1" ht="12.75" customHeight="1" x14ac:dyDescent="0.2">
      <c r="A43" s="5" t="s">
        <v>40</v>
      </c>
      <c r="B43" s="8"/>
      <c r="C43" s="6">
        <v>44644.421999999999</v>
      </c>
      <c r="D43" s="6"/>
      <c r="E43" s="5">
        <f t="shared" si="0"/>
        <v>-532.00234759020464</v>
      </c>
      <c r="F43" s="5">
        <f t="shared" si="1"/>
        <v>-532</v>
      </c>
      <c r="G43" s="5">
        <f t="shared" si="2"/>
        <v>-4.5720000052824616E-3</v>
      </c>
      <c r="I43" s="5">
        <f t="shared" si="7"/>
        <v>-4.5720000052824616E-3</v>
      </c>
      <c r="P43" s="5">
        <f t="shared" si="4"/>
        <v>2.9928212458205259E-3</v>
      </c>
      <c r="Q43" s="7">
        <f t="shared" si="3"/>
        <v>29625.921999999999</v>
      </c>
      <c r="R43" s="5">
        <f t="shared" si="5"/>
        <v>5.7226520561139371E-5</v>
      </c>
      <c r="T43" s="5">
        <v>-1500</v>
      </c>
      <c r="U43" s="5">
        <f t="shared" si="6"/>
        <v>1.4645376841926329E-2</v>
      </c>
    </row>
    <row r="44" spans="1:21" s="5" customFormat="1" ht="12.75" customHeight="1" x14ac:dyDescent="0.2">
      <c r="A44" s="5" t="s">
        <v>40</v>
      </c>
      <c r="B44" s="8"/>
      <c r="C44" s="6">
        <v>44646.375</v>
      </c>
      <c r="D44" s="6"/>
      <c r="E44" s="5">
        <f t="shared" si="0"/>
        <v>-530.99953838941678</v>
      </c>
      <c r="F44" s="5">
        <f t="shared" si="1"/>
        <v>-531</v>
      </c>
      <c r="G44" s="5">
        <f t="shared" si="2"/>
        <v>8.9899999875342473E-4</v>
      </c>
      <c r="I44" s="5">
        <f t="shared" si="7"/>
        <v>8.9899999875342473E-4</v>
      </c>
      <c r="P44" s="5">
        <f t="shared" si="4"/>
        <v>2.984924519059792E-3</v>
      </c>
      <c r="Q44" s="7">
        <f t="shared" si="3"/>
        <v>29627.875</v>
      </c>
      <c r="R44" s="5">
        <f t="shared" si="5"/>
        <v>4.3510811044153483E-6</v>
      </c>
      <c r="T44" s="5">
        <v>-1000</v>
      </c>
      <c r="U44" s="5">
        <f t="shared" si="6"/>
        <v>7.6264920073278886E-3</v>
      </c>
    </row>
    <row r="45" spans="1:21" s="5" customFormat="1" ht="12.75" customHeight="1" x14ac:dyDescent="0.2">
      <c r="A45" s="5" t="s">
        <v>41</v>
      </c>
      <c r="B45" s="8"/>
      <c r="C45" s="6">
        <v>45055.347000000002</v>
      </c>
      <c r="D45" s="6"/>
      <c r="E45" s="5">
        <f t="shared" si="0"/>
        <v>-321.00420584237816</v>
      </c>
      <c r="F45" s="5">
        <f t="shared" si="1"/>
        <v>-321</v>
      </c>
      <c r="G45" s="5">
        <f t="shared" si="2"/>
        <v>-8.1910000008065253E-3</v>
      </c>
      <c r="I45" s="5">
        <f t="shared" si="7"/>
        <v>-8.1910000008065253E-3</v>
      </c>
      <c r="P45" s="5">
        <f t="shared" si="4"/>
        <v>1.5159714061073375E-3</v>
      </c>
      <c r="Q45" s="7">
        <f t="shared" si="3"/>
        <v>30036.847000000002</v>
      </c>
      <c r="R45" s="5">
        <f t="shared" si="5"/>
        <v>9.4225293894643282E-5</v>
      </c>
      <c r="T45" s="5">
        <v>-500</v>
      </c>
      <c r="U45" s="5">
        <f t="shared" si="6"/>
        <v>2.7443653176365363E-3</v>
      </c>
    </row>
    <row r="46" spans="1:21" s="5" customFormat="1" ht="12.75" customHeight="1" x14ac:dyDescent="0.2">
      <c r="A46" s="5" t="s">
        <v>42</v>
      </c>
      <c r="B46" s="8"/>
      <c r="C46" s="6">
        <v>45273.5</v>
      </c>
      <c r="D46" s="6"/>
      <c r="E46" s="5">
        <f t="shared" si="0"/>
        <v>-208.98892904804109</v>
      </c>
      <c r="F46" s="5">
        <f t="shared" si="1"/>
        <v>-209</v>
      </c>
      <c r="G46" s="5">
        <f t="shared" si="2"/>
        <v>2.1560999994107988E-2</v>
      </c>
      <c r="I46" s="5">
        <f t="shared" si="7"/>
        <v>2.1560999994107988E-2</v>
      </c>
      <c r="P46" s="5">
        <f t="shared" si="4"/>
        <v>8.8664983734188679E-4</v>
      </c>
      <c r="Q46" s="7">
        <f t="shared" si="3"/>
        <v>30255</v>
      </c>
      <c r="R46" s="5">
        <f t="shared" si="5"/>
        <v>4.274287544045745E-4</v>
      </c>
      <c r="T46" s="5">
        <v>0</v>
      </c>
      <c r="U46" s="5">
        <f t="shared" si="6"/>
        <v>-1.0032271477268624E-6</v>
      </c>
    </row>
    <row r="47" spans="1:21" s="5" customFormat="1" ht="12.75" customHeight="1" x14ac:dyDescent="0.2">
      <c r="A47" s="5" t="s">
        <v>43</v>
      </c>
      <c r="B47" s="8"/>
      <c r="C47" s="6">
        <v>45600.652000000002</v>
      </c>
      <c r="D47" s="6"/>
      <c r="E47" s="5">
        <f t="shared" si="0"/>
        <v>-41.005807872437629</v>
      </c>
      <c r="F47" s="5">
        <f t="shared" si="1"/>
        <v>-41</v>
      </c>
      <c r="G47" s="5">
        <f t="shared" si="2"/>
        <v>-1.131100000202423E-2</v>
      </c>
      <c r="I47" s="5">
        <f t="shared" si="7"/>
        <v>-1.131100000202423E-2</v>
      </c>
      <c r="P47" s="5">
        <f t="shared" si="4"/>
        <v>1.4369369046656974E-4</v>
      </c>
      <c r="Q47" s="7">
        <f t="shared" si="3"/>
        <v>30582.152000000002</v>
      </c>
      <c r="R47" s="5">
        <f t="shared" si="5"/>
        <v>1.312100075887885E-4</v>
      </c>
      <c r="T47" s="5">
        <v>500</v>
      </c>
      <c r="U47" s="5">
        <f t="shared" si="6"/>
        <v>-6.0961362702490157E-4</v>
      </c>
    </row>
    <row r="48" spans="1:21" s="5" customFormat="1" ht="12.75" customHeight="1" x14ac:dyDescent="0.2">
      <c r="A48" s="5" t="s">
        <v>12</v>
      </c>
      <c r="B48" s="8"/>
      <c r="C48" s="6">
        <v>45680.512000000002</v>
      </c>
      <c r="D48" s="6" t="s">
        <v>14</v>
      </c>
      <c r="E48" s="5">
        <f t="shared" si="0"/>
        <v>0</v>
      </c>
      <c r="F48" s="5">
        <f t="shared" si="1"/>
        <v>0</v>
      </c>
      <c r="G48" s="5">
        <f t="shared" si="2"/>
        <v>0</v>
      </c>
      <c r="H48" s="5">
        <f>+G48</f>
        <v>0</v>
      </c>
      <c r="P48" s="5">
        <f t="shared" si="4"/>
        <v>-1.0032271477268624E-6</v>
      </c>
      <c r="Q48" s="7">
        <f t="shared" si="3"/>
        <v>30662.012000000002</v>
      </c>
      <c r="R48" s="5">
        <f t="shared" si="5"/>
        <v>1.0064647099361757E-12</v>
      </c>
      <c r="T48" s="5">
        <v>1000</v>
      </c>
      <c r="U48" s="5">
        <f t="shared" si="6"/>
        <v>9.1853411800501281E-4</v>
      </c>
    </row>
    <row r="49" spans="1:21" s="5" customFormat="1" ht="12.75" customHeight="1" x14ac:dyDescent="0.2">
      <c r="A49" s="5" t="s">
        <v>44</v>
      </c>
      <c r="B49" s="8"/>
      <c r="C49" s="6">
        <v>45723.321000000004</v>
      </c>
      <c r="D49" s="6"/>
      <c r="E49" s="5">
        <f t="shared" si="0"/>
        <v>21.981187443165727</v>
      </c>
      <c r="F49" s="5">
        <f t="shared" si="1"/>
        <v>22</v>
      </c>
      <c r="G49" s="5">
        <f t="shared" si="2"/>
        <v>-3.6637999997765291E-2</v>
      </c>
      <c r="I49" s="5">
        <f t="shared" ref="I49:I54" si="8">+G49</f>
        <v>-3.6637999997765291E-2</v>
      </c>
      <c r="P49" s="5">
        <f t="shared" si="4"/>
        <v>-7.2722382046008435E-5</v>
      </c>
      <c r="Q49" s="7">
        <f t="shared" si="3"/>
        <v>30704.821000000004</v>
      </c>
      <c r="R49" s="5">
        <f t="shared" si="5"/>
        <v>1.3370195271146215E-3</v>
      </c>
      <c r="T49" s="5">
        <v>1500</v>
      </c>
      <c r="U49" s="5">
        <f t="shared" si="6"/>
        <v>4.5834400079420154E-3</v>
      </c>
    </row>
    <row r="50" spans="1:21" s="5" customFormat="1" ht="12.75" customHeight="1" x14ac:dyDescent="0.2">
      <c r="A50" s="5" t="s">
        <v>45</v>
      </c>
      <c r="B50" s="8"/>
      <c r="C50" s="6">
        <v>46679.591</v>
      </c>
      <c r="D50" s="6"/>
      <c r="E50" s="5">
        <f t="shared" si="0"/>
        <v>512.99826600784786</v>
      </c>
      <c r="F50" s="5">
        <f t="shared" si="1"/>
        <v>513</v>
      </c>
      <c r="G50" s="5">
        <f t="shared" si="2"/>
        <v>-3.3770000009099022E-3</v>
      </c>
      <c r="I50" s="5">
        <f t="shared" si="8"/>
        <v>-3.3770000009099022E-3</v>
      </c>
      <c r="P50" s="5">
        <f t="shared" si="4"/>
        <v>-5.9693741728493737E-4</v>
      </c>
      <c r="Q50" s="7">
        <f t="shared" si="3"/>
        <v>31661.091</v>
      </c>
      <c r="R50" s="5">
        <f t="shared" si="5"/>
        <v>7.7287479688715162E-6</v>
      </c>
      <c r="T50" s="5">
        <v>2000</v>
      </c>
      <c r="U50" s="5">
        <f t="shared" si="6"/>
        <v>1.0385104042786107E-2</v>
      </c>
    </row>
    <row r="51" spans="1:21" s="5" customFormat="1" ht="12.75" customHeight="1" x14ac:dyDescent="0.2">
      <c r="A51" s="5" t="s">
        <v>46</v>
      </c>
      <c r="B51" s="8"/>
      <c r="C51" s="6">
        <v>46876.281999999999</v>
      </c>
      <c r="D51" s="6"/>
      <c r="E51" s="5">
        <f t="shared" si="0"/>
        <v>613.99342448815742</v>
      </c>
      <c r="F51" s="5">
        <f t="shared" si="1"/>
        <v>614</v>
      </c>
      <c r="G51" s="5">
        <f t="shared" si="2"/>
        <v>-1.2806000006094109E-2</v>
      </c>
      <c r="I51" s="5">
        <f t="shared" si="8"/>
        <v>-1.2806000006094109E-2</v>
      </c>
      <c r="P51" s="5">
        <f t="shared" si="4"/>
        <v>-4.4924775197506387E-4</v>
      </c>
      <c r="Q51" s="7">
        <f t="shared" si="3"/>
        <v>31857.781999999999</v>
      </c>
      <c r="R51" s="5">
        <f t="shared" si="5"/>
        <v>1.5268932626967611E-4</v>
      </c>
      <c r="T51" s="5">
        <v>2500</v>
      </c>
      <c r="U51" s="5">
        <f t="shared" si="6"/>
        <v>1.8323526222537287E-2</v>
      </c>
    </row>
    <row r="52" spans="1:21" s="5" customFormat="1" ht="12.75" customHeight="1" x14ac:dyDescent="0.2">
      <c r="A52" s="5" t="s">
        <v>47</v>
      </c>
      <c r="B52" s="8"/>
      <c r="C52" s="6">
        <v>47123.644</v>
      </c>
      <c r="D52" s="6"/>
      <c r="E52" s="5">
        <f t="shared" si="0"/>
        <v>741.00668077343016</v>
      </c>
      <c r="F52" s="5">
        <f t="shared" si="1"/>
        <v>741</v>
      </c>
      <c r="G52" s="5">
        <f t="shared" si="2"/>
        <v>1.3010999995458405E-2</v>
      </c>
      <c r="I52" s="5">
        <f t="shared" si="8"/>
        <v>1.3010999995458405E-2</v>
      </c>
      <c r="P52" s="5">
        <f t="shared" si="4"/>
        <v>-1.3979502721439422E-4</v>
      </c>
      <c r="Q52" s="7">
        <f t="shared" si="3"/>
        <v>32105.144</v>
      </c>
      <c r="R52" s="5">
        <f t="shared" si="5"/>
        <v>1.7294340972835568E-4</v>
      </c>
      <c r="T52" s="5">
        <v>3000</v>
      </c>
      <c r="U52" s="5">
        <f t="shared" si="6"/>
        <v>2.8398706547195555E-2</v>
      </c>
    </row>
    <row r="53" spans="1:21" s="5" customFormat="1" ht="12.75" customHeight="1" x14ac:dyDescent="0.2">
      <c r="A53" s="5" t="s">
        <v>48</v>
      </c>
      <c r="B53" s="8"/>
      <c r="C53" s="6">
        <v>47205.415999999997</v>
      </c>
      <c r="D53" s="6"/>
      <c r="E53" s="5">
        <f t="shared" ref="E53:E84" si="9">+(C53-C$7)/C$8</f>
        <v>782.99424552856203</v>
      </c>
      <c r="F53" s="5">
        <f t="shared" ref="F53:F84" si="10">ROUND(2*E53,0)/2</f>
        <v>783</v>
      </c>
      <c r="G53" s="5">
        <f t="shared" ref="G53:G84" si="11">+C53-(C$7+F53*C$8)</f>
        <v>-1.1207000003196299E-2</v>
      </c>
      <c r="I53" s="5">
        <f t="shared" si="8"/>
        <v>-1.1207000003196299E-2</v>
      </c>
      <c r="P53" s="5">
        <f t="shared" si="4"/>
        <v>-7.1229122117480101E-6</v>
      </c>
      <c r="Q53" s="7">
        <f t="shared" ref="Q53:Q84" si="12">+C53-15018.5</f>
        <v>32186.915999999997</v>
      </c>
      <c r="R53" s="5">
        <f t="shared" si="5"/>
        <v>1.2543724685316055E-4</v>
      </c>
      <c r="T53" s="5">
        <v>3500</v>
      </c>
      <c r="U53" s="5">
        <f t="shared" si="6"/>
        <v>4.0610645016760913E-2</v>
      </c>
    </row>
    <row r="54" spans="1:21" s="5" customFormat="1" ht="12.75" customHeight="1" x14ac:dyDescent="0.2">
      <c r="A54" s="5" t="s">
        <v>48</v>
      </c>
      <c r="B54" s="8"/>
      <c r="C54" s="6">
        <v>47205.430999999997</v>
      </c>
      <c r="D54" s="6"/>
      <c r="E54" s="5">
        <f t="shared" si="9"/>
        <v>783.00194759615613</v>
      </c>
      <c r="F54" s="5">
        <f t="shared" si="10"/>
        <v>783</v>
      </c>
      <c r="G54" s="5">
        <f t="shared" si="11"/>
        <v>3.7929999962216243E-3</v>
      </c>
      <c r="I54" s="5">
        <f t="shared" si="8"/>
        <v>3.7929999962216243E-3</v>
      </c>
      <c r="P54" s="5">
        <f t="shared" ref="P54:P85" si="13">+D$11+D$12*F54+D$13*F54^2</f>
        <v>-7.1229122117480101E-6</v>
      </c>
      <c r="Q54" s="7">
        <f t="shared" si="12"/>
        <v>32186.930999999997</v>
      </c>
      <c r="R54" s="5">
        <f t="shared" ref="R54:R85" si="14">+(P54-G54)^2</f>
        <v>1.4440934119200113E-5</v>
      </c>
      <c r="T54" s="5">
        <v>4000</v>
      </c>
      <c r="U54" s="5">
        <f t="shared" si="6"/>
        <v>5.4959341631233366E-2</v>
      </c>
    </row>
    <row r="55" spans="1:21" s="5" customFormat="1" ht="12.75" customHeight="1" x14ac:dyDescent="0.2">
      <c r="A55" s="5" t="s">
        <v>49</v>
      </c>
      <c r="B55" s="8"/>
      <c r="C55" s="6">
        <v>47207.362999999998</v>
      </c>
      <c r="D55" s="6"/>
      <c r="E55" s="5">
        <f t="shared" si="9"/>
        <v>783.99397390231161</v>
      </c>
      <c r="F55" s="5">
        <f t="shared" si="10"/>
        <v>784</v>
      </c>
      <c r="G55" s="5">
        <f t="shared" si="11"/>
        <v>-1.1736000007658731E-2</v>
      </c>
      <c r="I55" s="5">
        <f>+G55</f>
        <v>-1.1736000007658731E-2</v>
      </c>
      <c r="P55" s="5">
        <f t="shared" si="13"/>
        <v>-3.7802911302710351E-6</v>
      </c>
      <c r="Q55" s="7">
        <f t="shared" si="12"/>
        <v>32188.862999999998</v>
      </c>
      <c r="R55" s="5">
        <f t="shared" si="14"/>
        <v>1.3764497947689914E-4</v>
      </c>
      <c r="T55" s="5">
        <v>4500</v>
      </c>
      <c r="U55" s="5">
        <f t="shared" si="6"/>
        <v>7.1444796390612908E-2</v>
      </c>
    </row>
    <row r="56" spans="1:21" s="5" customFormat="1" ht="12.75" customHeight="1" x14ac:dyDescent="0.2">
      <c r="A56" s="5" t="s">
        <v>48</v>
      </c>
      <c r="B56" s="8"/>
      <c r="C56" s="6">
        <v>47207.368000000002</v>
      </c>
      <c r="D56" s="6"/>
      <c r="E56" s="5">
        <f t="shared" si="9"/>
        <v>783.99654125817881</v>
      </c>
      <c r="F56" s="5">
        <f t="shared" si="10"/>
        <v>784</v>
      </c>
      <c r="G56" s="5">
        <f t="shared" si="11"/>
        <v>-6.7360000030021183E-3</v>
      </c>
      <c r="I56" s="5">
        <f>+G56</f>
        <v>-6.7360000030021183E-3</v>
      </c>
      <c r="P56" s="5">
        <f t="shared" si="13"/>
        <v>-3.7802911302710351E-6</v>
      </c>
      <c r="Q56" s="7">
        <f t="shared" si="12"/>
        <v>32188.868000000002</v>
      </c>
      <c r="R56" s="5">
        <f t="shared" si="14"/>
        <v>4.5322782248915861E-5</v>
      </c>
      <c r="T56" s="5">
        <v>5000</v>
      </c>
      <c r="U56" s="5">
        <f t="shared" si="6"/>
        <v>9.0067009294899525E-2</v>
      </c>
    </row>
    <row r="57" spans="1:21" s="5" customFormat="1" ht="12.75" customHeight="1" x14ac:dyDescent="0.2">
      <c r="A57" s="5" t="s">
        <v>49</v>
      </c>
      <c r="B57" s="8"/>
      <c r="C57" s="6">
        <v>47207.38</v>
      </c>
      <c r="D57" s="6"/>
      <c r="E57" s="5">
        <f t="shared" si="9"/>
        <v>784.00270291225183</v>
      </c>
      <c r="F57" s="5">
        <f t="shared" si="10"/>
        <v>784</v>
      </c>
      <c r="G57" s="5">
        <f t="shared" si="11"/>
        <v>5.2639999921666458E-3</v>
      </c>
      <c r="I57" s="5">
        <f>+G57</f>
        <v>5.2639999921666458E-3</v>
      </c>
      <c r="P57" s="5">
        <f t="shared" si="13"/>
        <v>-3.7802911302710351E-6</v>
      </c>
      <c r="Q57" s="7">
        <f t="shared" si="12"/>
        <v>32188.879999999997</v>
      </c>
      <c r="R57" s="5">
        <f t="shared" si="14"/>
        <v>2.7749509113091747E-5</v>
      </c>
    </row>
    <row r="58" spans="1:21" s="5" customFormat="1" ht="12.75" customHeight="1" x14ac:dyDescent="0.2">
      <c r="A58" s="5" t="s">
        <v>50</v>
      </c>
      <c r="B58" s="8"/>
      <c r="C58" s="6">
        <v>47540.404000000002</v>
      </c>
      <c r="D58" s="6"/>
      <c r="E58" s="5">
        <f t="shared" si="9"/>
        <v>955.0009268154671</v>
      </c>
      <c r="F58" s="5">
        <f t="shared" si="10"/>
        <v>955</v>
      </c>
      <c r="G58" s="5">
        <f t="shared" si="11"/>
        <v>1.8049999998765998E-3</v>
      </c>
      <c r="I58" s="5">
        <f>+G58</f>
        <v>1.8049999998765998E-3</v>
      </c>
      <c r="P58" s="5">
        <f t="shared" si="13"/>
        <v>6.935005749183756E-4</v>
      </c>
      <c r="Q58" s="7">
        <f t="shared" si="12"/>
        <v>32521.904000000002</v>
      </c>
      <c r="R58" s="5">
        <f t="shared" si="14"/>
        <v>1.235430971682463E-6</v>
      </c>
    </row>
    <row r="59" spans="1:21" s="5" customFormat="1" ht="12.75" customHeight="1" x14ac:dyDescent="0.2">
      <c r="A59" s="5" t="s">
        <v>49</v>
      </c>
      <c r="B59" s="8"/>
      <c r="C59" s="6">
        <v>47542.345000000001</v>
      </c>
      <c r="D59" s="6"/>
      <c r="E59" s="5">
        <f t="shared" si="9"/>
        <v>955.99757436217828</v>
      </c>
      <c r="F59" s="5">
        <f t="shared" si="10"/>
        <v>956</v>
      </c>
      <c r="G59" s="5">
        <f t="shared" si="11"/>
        <v>-4.7239999985322356E-3</v>
      </c>
      <c r="I59" s="5">
        <f>+G59</f>
        <v>-4.7239999985322356E-3</v>
      </c>
      <c r="P59" s="5">
        <f t="shared" si="13"/>
        <v>6.9831328560354894E-4</v>
      </c>
      <c r="Q59" s="7">
        <f t="shared" si="12"/>
        <v>32523.845000000001</v>
      </c>
      <c r="R59" s="5">
        <f t="shared" si="14"/>
        <v>2.9401481351315393E-5</v>
      </c>
    </row>
    <row r="60" spans="1:21" s="5" customFormat="1" ht="12.75" customHeight="1" x14ac:dyDescent="0.2">
      <c r="A60" s="5" t="s">
        <v>51</v>
      </c>
      <c r="B60" s="8"/>
      <c r="C60" s="6">
        <v>47908.464999999997</v>
      </c>
      <c r="D60" s="6"/>
      <c r="E60" s="5">
        <f t="shared" si="9"/>
        <v>1143.9896402056113</v>
      </c>
      <c r="F60" s="5">
        <f t="shared" si="10"/>
        <v>1144</v>
      </c>
      <c r="G60" s="5">
        <f t="shared" si="11"/>
        <v>-2.0176000005449168E-2</v>
      </c>
      <c r="I60" s="5">
        <f>+G60</f>
        <v>-2.0176000005449168E-2</v>
      </c>
      <c r="P60" s="5">
        <f t="shared" si="13"/>
        <v>1.7549494752258361E-3</v>
      </c>
      <c r="Q60" s="7">
        <f t="shared" si="12"/>
        <v>32889.964999999997</v>
      </c>
      <c r="R60" s="5">
        <f t="shared" si="14"/>
        <v>4.8096654512391925E-4</v>
      </c>
    </row>
    <row r="61" spans="1:21" s="5" customFormat="1" ht="12.75" customHeight="1" x14ac:dyDescent="0.2">
      <c r="A61" s="5" t="s">
        <v>51</v>
      </c>
      <c r="B61" s="8"/>
      <c r="C61" s="6">
        <v>47912.38</v>
      </c>
      <c r="D61" s="6"/>
      <c r="E61" s="5">
        <f t="shared" si="9"/>
        <v>1145.9998798477429</v>
      </c>
      <c r="F61" s="5">
        <f t="shared" si="10"/>
        <v>1146</v>
      </c>
      <c r="G61" s="5">
        <f t="shared" si="11"/>
        <v>-2.3400000645779073E-4</v>
      </c>
      <c r="I61" s="5">
        <f>+G61</f>
        <v>-2.3400000645779073E-4</v>
      </c>
      <c r="P61" s="5">
        <f t="shared" si="13"/>
        <v>1.7678142219438621E-3</v>
      </c>
      <c r="Q61" s="7">
        <f t="shared" si="12"/>
        <v>32893.879999999997</v>
      </c>
      <c r="R61" s="5">
        <f t="shared" si="14"/>
        <v>4.0072602050313048E-6</v>
      </c>
    </row>
    <row r="62" spans="1:21" s="5" customFormat="1" ht="12.75" customHeight="1" x14ac:dyDescent="0.2">
      <c r="A62" s="5" t="s">
        <v>51</v>
      </c>
      <c r="B62" s="8"/>
      <c r="C62" s="6">
        <v>47914.322999999997</v>
      </c>
      <c r="D62" s="6"/>
      <c r="E62" s="5">
        <f t="shared" si="9"/>
        <v>1146.9975543368002</v>
      </c>
      <c r="F62" s="5">
        <f t="shared" si="10"/>
        <v>1147</v>
      </c>
      <c r="G62" s="5">
        <f t="shared" si="11"/>
        <v>-4.7630000044591725E-3</v>
      </c>
      <c r="I62" s="5">
        <f>+G62</f>
        <v>-4.7630000044591725E-3</v>
      </c>
      <c r="P62" s="5">
        <f t="shared" si="13"/>
        <v>1.7742594158517444E-3</v>
      </c>
      <c r="Q62" s="7">
        <f t="shared" si="12"/>
        <v>32895.822999999997</v>
      </c>
      <c r="R62" s="5">
        <f t="shared" si="14"/>
        <v>4.2735760728443817E-5</v>
      </c>
    </row>
    <row r="63" spans="1:21" s="5" customFormat="1" ht="12.75" customHeight="1" x14ac:dyDescent="0.2">
      <c r="A63" s="5" t="s">
        <v>52</v>
      </c>
      <c r="B63" s="8"/>
      <c r="C63" s="6">
        <v>48126.601000000002</v>
      </c>
      <c r="D63" s="6"/>
      <c r="E63" s="5">
        <f t="shared" si="9"/>
        <v>1255.9961879900118</v>
      </c>
      <c r="F63" s="5">
        <f t="shared" si="10"/>
        <v>1256</v>
      </c>
      <c r="G63" s="5">
        <f t="shared" si="11"/>
        <v>-7.4240000030840747E-3</v>
      </c>
      <c r="I63" s="5">
        <f>+G63</f>
        <v>-7.4240000030840747E-3</v>
      </c>
      <c r="P63" s="5">
        <f t="shared" si="13"/>
        <v>2.5280250121258053E-3</v>
      </c>
      <c r="Q63" s="7">
        <f t="shared" si="12"/>
        <v>33108.101000000002</v>
      </c>
      <c r="R63" s="5">
        <f t="shared" si="14"/>
        <v>9.9042801903363216E-5</v>
      </c>
    </row>
    <row r="64" spans="1:21" s="5" customFormat="1" ht="12.75" customHeight="1" x14ac:dyDescent="0.2">
      <c r="A64" s="5" t="s">
        <v>53</v>
      </c>
      <c r="B64" s="8"/>
      <c r="C64" s="6">
        <v>48533.646000000001</v>
      </c>
      <c r="D64" s="6">
        <v>4.0000000000000001E-3</v>
      </c>
      <c r="E64" s="5">
        <f t="shared" si="9"/>
        <v>1465.0020615867584</v>
      </c>
      <c r="F64" s="5">
        <f t="shared" si="10"/>
        <v>1465</v>
      </c>
      <c r="G64" s="5">
        <f t="shared" si="11"/>
        <v>4.014999998616986E-3</v>
      </c>
      <c r="J64" s="5">
        <f>+G64</f>
        <v>4.014999998616986E-3</v>
      </c>
      <c r="P64" s="5">
        <f t="shared" si="13"/>
        <v>4.2573451180296989E-3</v>
      </c>
      <c r="Q64" s="7">
        <f t="shared" si="12"/>
        <v>33515.146000000001</v>
      </c>
      <c r="R64" s="5">
        <f t="shared" si="14"/>
        <v>5.873115690316209E-8</v>
      </c>
    </row>
    <row r="65" spans="1:18" s="5" customFormat="1" ht="12.75" customHeight="1" x14ac:dyDescent="0.2">
      <c r="A65" s="5" t="s">
        <v>54</v>
      </c>
      <c r="B65" s="8"/>
      <c r="C65" s="6">
        <v>48541.43</v>
      </c>
      <c r="D65" s="6"/>
      <c r="E65" s="5">
        <f t="shared" si="9"/>
        <v>1468.9989211970644</v>
      </c>
      <c r="F65" s="5">
        <f t="shared" si="10"/>
        <v>1469</v>
      </c>
      <c r="G65" s="5">
        <f t="shared" si="11"/>
        <v>-2.1010000054957345E-3</v>
      </c>
      <c r="J65" s="5">
        <f>+G65</f>
        <v>-2.1010000054957345E-3</v>
      </c>
      <c r="O65" s="5">
        <f t="shared" ref="O65:O91" ca="1" si="15">+C$11+C$12*$F65</f>
        <v>8.7302613017394032E-2</v>
      </c>
      <c r="P65" s="5">
        <f t="shared" si="13"/>
        <v>4.2940831894283122E-3</v>
      </c>
      <c r="Q65" s="7">
        <f t="shared" si="12"/>
        <v>33522.93</v>
      </c>
      <c r="R65" s="5">
        <f t="shared" si="14"/>
        <v>4.089708906999995E-5</v>
      </c>
    </row>
    <row r="66" spans="1:18" s="5" customFormat="1" ht="12.75" customHeight="1" x14ac:dyDescent="0.2">
      <c r="A66" s="5" t="s">
        <v>55</v>
      </c>
      <c r="B66" s="8"/>
      <c r="C66" s="6">
        <v>48619.343999999997</v>
      </c>
      <c r="D66" s="6">
        <v>5.0000000000000001E-3</v>
      </c>
      <c r="E66" s="5">
        <f t="shared" si="9"/>
        <v>1509.0055141669236</v>
      </c>
      <c r="F66" s="5">
        <f t="shared" si="10"/>
        <v>1509</v>
      </c>
      <c r="G66" s="5">
        <f t="shared" si="11"/>
        <v>1.0738999997556675E-2</v>
      </c>
      <c r="J66" s="5">
        <f>+G66</f>
        <v>1.0738999997556675E-2</v>
      </c>
      <c r="O66" s="5">
        <f t="shared" ca="1" si="15"/>
        <v>8.607296105379289E-2</v>
      </c>
      <c r="P66" s="5">
        <f t="shared" si="13"/>
        <v>4.6689852920845203E-3</v>
      </c>
      <c r="Q66" s="7">
        <f t="shared" si="12"/>
        <v>33600.843999999997</v>
      </c>
      <c r="R66" s="5">
        <f t="shared" si="14"/>
        <v>3.6845078524648213E-5</v>
      </c>
    </row>
    <row r="67" spans="1:18" s="5" customFormat="1" ht="12.75" customHeight="1" x14ac:dyDescent="0.2">
      <c r="A67" s="5" t="s">
        <v>56</v>
      </c>
      <c r="B67" s="8"/>
      <c r="C67" s="6">
        <v>48872.523000000001</v>
      </c>
      <c r="D67" s="6">
        <v>2E-3</v>
      </c>
      <c r="E67" s="5">
        <f t="shared" si="9"/>
        <v>1639.0056322652954</v>
      </c>
      <c r="F67" s="5">
        <f t="shared" si="10"/>
        <v>1639</v>
      </c>
      <c r="G67" s="5">
        <f t="shared" si="11"/>
        <v>1.0968999995384365E-2</v>
      </c>
      <c r="J67" s="5">
        <f>+G67</f>
        <v>1.0968999995384365E-2</v>
      </c>
      <c r="O67" s="5">
        <f t="shared" ca="1" si="15"/>
        <v>8.2076592172089138E-2</v>
      </c>
      <c r="P67" s="5">
        <f t="shared" si="13"/>
        <v>5.9818618357220877E-3</v>
      </c>
      <c r="Q67" s="7">
        <f t="shared" si="12"/>
        <v>33854.023000000001</v>
      </c>
      <c r="R67" s="5">
        <f t="shared" si="14"/>
        <v>2.4871547023559648E-5</v>
      </c>
    </row>
    <row r="68" spans="1:18" s="5" customFormat="1" ht="12.75" customHeight="1" x14ac:dyDescent="0.2">
      <c r="A68" s="5" t="s">
        <v>54</v>
      </c>
      <c r="B68" s="8"/>
      <c r="C68" s="6">
        <v>48915.356</v>
      </c>
      <c r="D68" s="6"/>
      <c r="E68" s="5">
        <f t="shared" si="9"/>
        <v>1660.999143016611</v>
      </c>
      <c r="F68" s="5">
        <f t="shared" si="10"/>
        <v>1661</v>
      </c>
      <c r="G68" s="5">
        <f t="shared" si="11"/>
        <v>-1.6690000047674403E-3</v>
      </c>
      <c r="J68" s="5">
        <f>+G68</f>
        <v>-1.6690000047674403E-3</v>
      </c>
      <c r="O68" s="5">
        <f t="shared" ca="1" si="15"/>
        <v>8.1400283592108505E-2</v>
      </c>
      <c r="P68" s="5">
        <f t="shared" si="13"/>
        <v>6.2183315815800451E-3</v>
      </c>
      <c r="Q68" s="7">
        <f t="shared" si="12"/>
        <v>33896.856</v>
      </c>
      <c r="R68" s="5">
        <f t="shared" si="14"/>
        <v>6.2209999552994736E-5</v>
      </c>
    </row>
    <row r="69" spans="1:18" s="5" customFormat="1" ht="12.75" customHeight="1" x14ac:dyDescent="0.2">
      <c r="A69" s="5" t="s">
        <v>54</v>
      </c>
      <c r="B69" s="8"/>
      <c r="C69" s="6">
        <v>48917.303999999996</v>
      </c>
      <c r="D69" s="6"/>
      <c r="E69" s="5">
        <f t="shared" si="9"/>
        <v>1661.9993848615316</v>
      </c>
      <c r="F69" s="5">
        <f t="shared" si="10"/>
        <v>1662</v>
      </c>
      <c r="G69" s="5">
        <f t="shared" si="11"/>
        <v>-1.1980000053881668E-3</v>
      </c>
      <c r="J69" s="5">
        <f>+G69</f>
        <v>-1.1980000053881668E-3</v>
      </c>
      <c r="O69" s="5">
        <f t="shared" ca="1" si="15"/>
        <v>8.1369542293018474E-2</v>
      </c>
      <c r="P69" s="5">
        <f t="shared" si="13"/>
        <v>6.2291784972664365E-3</v>
      </c>
      <c r="Q69" s="7">
        <f t="shared" si="12"/>
        <v>33898.803999999996</v>
      </c>
      <c r="R69" s="5">
        <f t="shared" si="14"/>
        <v>5.5162980510294673E-5</v>
      </c>
    </row>
    <row r="70" spans="1:18" s="5" customFormat="1" ht="12.75" customHeight="1" x14ac:dyDescent="0.2">
      <c r="A70" s="5" t="s">
        <v>57</v>
      </c>
      <c r="B70" s="8"/>
      <c r="C70" s="6">
        <v>49026.362999999998</v>
      </c>
      <c r="D70" s="6">
        <v>3.0000000000000001E-3</v>
      </c>
      <c r="E70" s="5">
        <f t="shared" si="9"/>
        <v>1717.9980375131745</v>
      </c>
      <c r="F70" s="5">
        <f t="shared" si="10"/>
        <v>1718</v>
      </c>
      <c r="G70" s="5">
        <f t="shared" si="11"/>
        <v>-3.8220000060391612E-3</v>
      </c>
      <c r="J70" s="5">
        <f>+G70</f>
        <v>-3.8220000060391612E-3</v>
      </c>
      <c r="O70" s="5">
        <f t="shared" ca="1" si="15"/>
        <v>7.9648029543976859E-2</v>
      </c>
      <c r="P70" s="5">
        <f t="shared" si="13"/>
        <v>6.8502468397014238E-3</v>
      </c>
      <c r="Q70" s="7">
        <f t="shared" si="12"/>
        <v>34007.862999999998</v>
      </c>
      <c r="R70" s="5">
        <f t="shared" si="14"/>
        <v>1.1389685273641987E-4</v>
      </c>
    </row>
    <row r="71" spans="1:18" s="5" customFormat="1" ht="12.75" customHeight="1" x14ac:dyDescent="0.2">
      <c r="A71" s="5" t="s">
        <v>57</v>
      </c>
      <c r="B71" s="8"/>
      <c r="C71" s="6">
        <v>49065.326000000001</v>
      </c>
      <c r="D71" s="6">
        <v>6.0000000000000001E-3</v>
      </c>
      <c r="E71" s="5">
        <f t="shared" si="9"/>
        <v>1738.0044148251443</v>
      </c>
      <c r="F71" s="5">
        <f t="shared" si="10"/>
        <v>1738</v>
      </c>
      <c r="G71" s="5">
        <f t="shared" si="11"/>
        <v>8.5980000003473833E-3</v>
      </c>
      <c r="J71" s="5">
        <f>+G71</f>
        <v>8.5980000003473833E-3</v>
      </c>
      <c r="O71" s="5">
        <f t="shared" ca="1" si="15"/>
        <v>7.9033203562176288E-2</v>
      </c>
      <c r="P71" s="5">
        <f t="shared" si="13"/>
        <v>7.0785527067601505E-3</v>
      </c>
      <c r="Q71" s="7">
        <f t="shared" si="12"/>
        <v>34046.826000000001</v>
      </c>
      <c r="R71" s="5">
        <f t="shared" si="14"/>
        <v>2.3087200779895665E-6</v>
      </c>
    </row>
    <row r="72" spans="1:18" s="5" customFormat="1" ht="12.75" customHeight="1" x14ac:dyDescent="0.2">
      <c r="A72" s="5" t="s">
        <v>58</v>
      </c>
      <c r="B72" s="8"/>
      <c r="C72" s="6">
        <v>49807.321000000004</v>
      </c>
      <c r="D72" s="6">
        <v>3.0000000000000001E-3</v>
      </c>
      <c r="E72" s="5">
        <f t="shared" si="9"/>
        <v>2118.9974578042234</v>
      </c>
      <c r="F72" s="5">
        <f t="shared" si="10"/>
        <v>2119</v>
      </c>
      <c r="G72" s="5">
        <f t="shared" si="11"/>
        <v>-4.9510000026202761E-3</v>
      </c>
      <c r="J72" s="5">
        <f>+G72</f>
        <v>-4.9510000026202761E-3</v>
      </c>
      <c r="O72" s="5">
        <f t="shared" ca="1" si="15"/>
        <v>6.7320768608875314E-2</v>
      </c>
      <c r="P72" s="5">
        <f t="shared" si="13"/>
        <v>1.2080691566503002E-2</v>
      </c>
      <c r="Q72" s="7">
        <f t="shared" si="12"/>
        <v>34788.821000000004</v>
      </c>
      <c r="R72" s="5">
        <f t="shared" si="14"/>
        <v>2.9007851770574496E-4</v>
      </c>
    </row>
    <row r="73" spans="1:18" s="5" customFormat="1" ht="12.75" customHeight="1" x14ac:dyDescent="0.2">
      <c r="A73" s="5" t="s">
        <v>59</v>
      </c>
      <c r="B73" s="8"/>
      <c r="C73" s="6">
        <v>50722.673999999999</v>
      </c>
      <c r="D73" s="6">
        <v>7.0000000000000001E-3</v>
      </c>
      <c r="E73" s="5">
        <f t="shared" si="9"/>
        <v>2589.0048363849764</v>
      </c>
      <c r="F73" s="5">
        <f t="shared" si="10"/>
        <v>2589</v>
      </c>
      <c r="G73" s="5">
        <f t="shared" si="11"/>
        <v>9.4189999945228919E-3</v>
      </c>
      <c r="J73" s="5">
        <f>+G73</f>
        <v>9.4189999945228919E-3</v>
      </c>
      <c r="O73" s="5">
        <f t="shared" ca="1" si="15"/>
        <v>5.2872358036561776E-2</v>
      </c>
      <c r="P73" s="5">
        <f t="shared" si="13"/>
        <v>1.9960587367961347E-2</v>
      </c>
      <c r="Q73" s="7">
        <f t="shared" si="12"/>
        <v>35704.173999999999</v>
      </c>
      <c r="R73" s="5">
        <f t="shared" si="14"/>
        <v>1.1112506435183707E-4</v>
      </c>
    </row>
    <row r="74" spans="1:18" s="5" customFormat="1" ht="12.75" customHeight="1" x14ac:dyDescent="0.2">
      <c r="A74" s="5" t="s">
        <v>60</v>
      </c>
      <c r="B74" s="8"/>
      <c r="C74" s="6">
        <v>51135.557999999997</v>
      </c>
      <c r="D74" s="6">
        <v>7.0000000000000001E-3</v>
      </c>
      <c r="E74" s="5">
        <f t="shared" si="9"/>
        <v>2801.0088681606253</v>
      </c>
      <c r="F74" s="5">
        <f t="shared" si="10"/>
        <v>2801</v>
      </c>
      <c r="G74" s="5">
        <f t="shared" si="11"/>
        <v>1.7270999996981118E-2</v>
      </c>
      <c r="J74" s="5">
        <f>+G74</f>
        <v>1.7270999996981118E-2</v>
      </c>
      <c r="O74" s="5">
        <f t="shared" ca="1" si="15"/>
        <v>4.6355202629475664E-2</v>
      </c>
      <c r="P74" s="5">
        <f t="shared" si="13"/>
        <v>2.4132805425737987E-2</v>
      </c>
      <c r="Q74" s="7">
        <f t="shared" si="12"/>
        <v>36117.057999999997</v>
      </c>
      <c r="R74" s="5">
        <f t="shared" si="14"/>
        <v>4.7084373742117236E-5</v>
      </c>
    </row>
    <row r="75" spans="1:18" s="5" customFormat="1" ht="12.75" customHeight="1" x14ac:dyDescent="0.2">
      <c r="A75" s="5" t="s">
        <v>60</v>
      </c>
      <c r="B75" s="8"/>
      <c r="C75" s="6">
        <v>51135.557999999997</v>
      </c>
      <c r="D75" s="6">
        <v>7.0000000000000001E-3</v>
      </c>
      <c r="E75" s="5">
        <f t="shared" si="9"/>
        <v>2801.0088681606253</v>
      </c>
      <c r="F75" s="5">
        <f t="shared" si="10"/>
        <v>2801</v>
      </c>
      <c r="G75" s="5">
        <f t="shared" si="11"/>
        <v>1.7270999996981118E-2</v>
      </c>
      <c r="J75" s="5">
        <f>G75</f>
        <v>1.7270999996981118E-2</v>
      </c>
      <c r="O75" s="5">
        <f t="shared" ca="1" si="15"/>
        <v>4.6355202629475664E-2</v>
      </c>
      <c r="P75" s="5">
        <f t="shared" si="13"/>
        <v>2.4132805425737987E-2</v>
      </c>
      <c r="Q75" s="7">
        <f t="shared" si="12"/>
        <v>36117.057999999997</v>
      </c>
      <c r="R75" s="5">
        <f t="shared" si="14"/>
        <v>4.7084373742117236E-5</v>
      </c>
    </row>
    <row r="76" spans="1:18" s="5" customFormat="1" ht="12.75" customHeight="1" x14ac:dyDescent="0.2">
      <c r="A76" s="5" t="s">
        <v>67</v>
      </c>
      <c r="B76" s="8" t="s">
        <v>65</v>
      </c>
      <c r="C76" s="9">
        <v>51404.300300000003</v>
      </c>
      <c r="D76" s="9"/>
      <c r="E76" s="5">
        <f t="shared" si="9"/>
        <v>2939.0002921650976</v>
      </c>
      <c r="F76" s="5">
        <f t="shared" si="10"/>
        <v>2939</v>
      </c>
      <c r="G76" s="5">
        <f t="shared" si="11"/>
        <v>5.6899999617598951E-4</v>
      </c>
      <c r="J76" s="5">
        <f>G76</f>
        <v>5.6899999617598951E-4</v>
      </c>
      <c r="O76" s="5">
        <f t="shared" ca="1" si="15"/>
        <v>4.211290335505169E-2</v>
      </c>
      <c r="P76" s="5">
        <f t="shared" si="13"/>
        <v>2.7055094054862311E-2</v>
      </c>
      <c r="Q76" s="7">
        <f t="shared" si="12"/>
        <v>36385.800300000003</v>
      </c>
      <c r="R76" s="5">
        <f t="shared" si="14"/>
        <v>7.0151317848557882E-4</v>
      </c>
    </row>
    <row r="77" spans="1:18" s="5" customFormat="1" ht="12.75" customHeight="1" x14ac:dyDescent="0.2">
      <c r="A77" s="37" t="s">
        <v>298</v>
      </c>
      <c r="B77" s="39" t="s">
        <v>65</v>
      </c>
      <c r="C77" s="38">
        <v>51895.084600000002</v>
      </c>
      <c r="D77" s="6"/>
      <c r="E77" s="5">
        <f t="shared" si="9"/>
        <v>3191.0038823555383</v>
      </c>
      <c r="F77" s="5">
        <f t="shared" si="10"/>
        <v>3191</v>
      </c>
      <c r="G77" s="5">
        <f t="shared" si="11"/>
        <v>7.56099999853177E-3</v>
      </c>
      <c r="J77" s="5">
        <f>G77</f>
        <v>7.56099999853177E-3</v>
      </c>
      <c r="O77" s="5">
        <f t="shared" ca="1" si="15"/>
        <v>3.4366095984364436E-2</v>
      </c>
      <c r="P77" s="5">
        <f t="shared" si="13"/>
        <v>3.2811448384660977E-2</v>
      </c>
      <c r="Q77" s="7">
        <f t="shared" si="12"/>
        <v>36876.584600000002</v>
      </c>
      <c r="R77" s="5">
        <f t="shared" si="14"/>
        <v>6.3758514370057507E-4</v>
      </c>
    </row>
    <row r="78" spans="1:18" s="5" customFormat="1" ht="12.75" customHeight="1" x14ac:dyDescent="0.2">
      <c r="A78" s="5" t="s">
        <v>68</v>
      </c>
      <c r="B78" s="8"/>
      <c r="C78" s="9">
        <v>51959.358</v>
      </c>
      <c r="D78" s="9"/>
      <c r="E78" s="5">
        <f t="shared" si="9"/>
        <v>3224.0064204435453</v>
      </c>
      <c r="F78" s="5">
        <f t="shared" si="10"/>
        <v>3224</v>
      </c>
      <c r="G78" s="5">
        <f t="shared" si="11"/>
        <v>1.250399999844376E-2</v>
      </c>
      <c r="J78" s="5">
        <f>G78</f>
        <v>1.250399999844376E-2</v>
      </c>
      <c r="O78" s="5">
        <f t="shared" ca="1" si="15"/>
        <v>3.3351633114393486E-2</v>
      </c>
      <c r="P78" s="5">
        <f t="shared" si="13"/>
        <v>3.3605449110459366E-2</v>
      </c>
      <c r="Q78" s="7">
        <f t="shared" si="12"/>
        <v>36940.858</v>
      </c>
      <c r="R78" s="5">
        <f t="shared" si="14"/>
        <v>4.4527115462698424E-4</v>
      </c>
    </row>
    <row r="79" spans="1:18" s="5" customFormat="1" ht="12.75" customHeight="1" x14ac:dyDescent="0.2">
      <c r="A79" s="5" t="s">
        <v>69</v>
      </c>
      <c r="B79" s="8"/>
      <c r="C79" s="9">
        <v>52208.631000000001</v>
      </c>
      <c r="D79" s="9"/>
      <c r="E79" s="5">
        <f t="shared" si="9"/>
        <v>3352.0009201403413</v>
      </c>
      <c r="F79" s="5">
        <f t="shared" si="10"/>
        <v>3352</v>
      </c>
      <c r="G79" s="5">
        <f t="shared" si="11"/>
        <v>1.7919999954756349E-3</v>
      </c>
      <c r="J79" s="5">
        <f>G79</f>
        <v>1.7919999954756349E-3</v>
      </c>
      <c r="O79" s="5">
        <f t="shared" ca="1" si="15"/>
        <v>2.9416746830869797E-2</v>
      </c>
      <c r="P79" s="5">
        <f t="shared" si="13"/>
        <v>3.6773278125135409E-2</v>
      </c>
      <c r="Q79" s="7">
        <f t="shared" si="12"/>
        <v>37190.131000000001</v>
      </c>
      <c r="R79" s="5">
        <f t="shared" si="14"/>
        <v>1.2236898195846131E-3</v>
      </c>
    </row>
    <row r="80" spans="1:18" s="5" customFormat="1" ht="12.75" customHeight="1" x14ac:dyDescent="0.2">
      <c r="A80" s="3" t="s">
        <v>71</v>
      </c>
      <c r="B80" s="17" t="s">
        <v>65</v>
      </c>
      <c r="C80" s="3">
        <v>52878.584999999999</v>
      </c>
      <c r="D80" s="18">
        <v>8.0000000000000002E-3</v>
      </c>
      <c r="E80" s="5">
        <f t="shared" si="9"/>
        <v>3696.0029863483401</v>
      </c>
      <c r="F80" s="5">
        <f t="shared" si="10"/>
        <v>3696</v>
      </c>
      <c r="G80" s="5">
        <f t="shared" si="11"/>
        <v>5.8159999971394427E-3</v>
      </c>
      <c r="K80" s="5">
        <f>+G80</f>
        <v>5.8159999971394427E-3</v>
      </c>
      <c r="O80" s="5">
        <f t="shared" ca="1" si="15"/>
        <v>1.8841739943899899E-2</v>
      </c>
      <c r="P80" s="5">
        <f t="shared" si="13"/>
        <v>4.5980700895021827E-2</v>
      </c>
      <c r="Q80" s="7">
        <f t="shared" si="12"/>
        <v>37860.084999999999</v>
      </c>
      <c r="R80" s="5">
        <f t="shared" si="14"/>
        <v>1.613203198216354E-3</v>
      </c>
    </row>
    <row r="81" spans="1:18" s="5" customFormat="1" ht="12.75" customHeight="1" x14ac:dyDescent="0.2">
      <c r="A81" s="19" t="s">
        <v>74</v>
      </c>
      <c r="B81" s="17" t="s">
        <v>65</v>
      </c>
      <c r="C81" s="20">
        <v>53308.986599999997</v>
      </c>
      <c r="D81" s="20">
        <v>2.0000000000000001E-4</v>
      </c>
      <c r="E81" s="5">
        <f t="shared" si="9"/>
        <v>3917.0018007434005</v>
      </c>
      <c r="F81" s="5">
        <f t="shared" si="10"/>
        <v>3917</v>
      </c>
      <c r="G81" s="5">
        <f t="shared" si="11"/>
        <v>3.5069999939878471E-3</v>
      </c>
      <c r="K81" s="5">
        <f>+G81</f>
        <v>3.5069999939878471E-3</v>
      </c>
      <c r="O81" s="5">
        <f t="shared" ca="1" si="15"/>
        <v>1.2047912845003533E-2</v>
      </c>
      <c r="P81" s="5">
        <f t="shared" si="13"/>
        <v>5.2429547320924183E-2</v>
      </c>
      <c r="Q81" s="7">
        <f t="shared" si="12"/>
        <v>38290.486599999997</v>
      </c>
      <c r="R81" s="5">
        <f t="shared" si="14"/>
        <v>2.3934156369563257E-3</v>
      </c>
    </row>
    <row r="82" spans="1:18" s="5" customFormat="1" ht="12.75" customHeight="1" x14ac:dyDescent="0.2">
      <c r="A82" s="3" t="s">
        <v>82</v>
      </c>
      <c r="B82" s="17" t="s">
        <v>65</v>
      </c>
      <c r="C82" s="3">
        <v>53326.510999999999</v>
      </c>
      <c r="D82" s="3">
        <v>4.0000000000000001E-3</v>
      </c>
      <c r="E82" s="5">
        <f t="shared" si="9"/>
        <v>3926.0000749667893</v>
      </c>
      <c r="F82" s="5">
        <f t="shared" si="10"/>
        <v>3926</v>
      </c>
      <c r="G82" s="5">
        <f t="shared" si="11"/>
        <v>1.4599999849451706E-4</v>
      </c>
      <c r="K82" s="5">
        <f>+G82</f>
        <v>1.4599999849451706E-4</v>
      </c>
      <c r="O82" s="5">
        <f t="shared" ca="1" si="15"/>
        <v>1.1771241153193265E-2</v>
      </c>
      <c r="P82" s="5">
        <f t="shared" si="13"/>
        <v>5.2701016204771335E-2</v>
      </c>
      <c r="Q82" s="7">
        <f t="shared" si="12"/>
        <v>38308.010999999999</v>
      </c>
      <c r="R82" s="5">
        <f t="shared" si="14"/>
        <v>2.762029728442019E-3</v>
      </c>
    </row>
    <row r="83" spans="1:18" s="5" customFormat="1" ht="12.75" customHeight="1" x14ac:dyDescent="0.2">
      <c r="A83" s="37" t="s">
        <v>320</v>
      </c>
      <c r="B83" s="39" t="s">
        <v>65</v>
      </c>
      <c r="C83" s="38">
        <v>53708.23</v>
      </c>
      <c r="D83" s="6"/>
      <c r="E83" s="5">
        <f t="shared" si="9"/>
        <v>4122.0017776372015</v>
      </c>
      <c r="F83" s="5">
        <f t="shared" si="10"/>
        <v>4122</v>
      </c>
      <c r="G83" s="5">
        <f t="shared" si="11"/>
        <v>3.4620000005816109E-3</v>
      </c>
      <c r="K83" s="5">
        <f>+G83</f>
        <v>3.4620000005816109E-3</v>
      </c>
      <c r="O83" s="5">
        <f t="shared" ca="1" si="15"/>
        <v>5.7459465315476133E-3</v>
      </c>
      <c r="P83" s="5">
        <f t="shared" si="13"/>
        <v>5.8784715115300909E-2</v>
      </c>
      <c r="Q83" s="7">
        <f t="shared" si="12"/>
        <v>38689.730000000003</v>
      </c>
      <c r="R83" s="5">
        <f t="shared" si="14"/>
        <v>3.060602807664391E-3</v>
      </c>
    </row>
    <row r="84" spans="1:18" s="5" customFormat="1" ht="12.75" customHeight="1" x14ac:dyDescent="0.2">
      <c r="A84" s="19" t="s">
        <v>75</v>
      </c>
      <c r="B84" s="21"/>
      <c r="C84" s="3">
        <v>53780.288999999997</v>
      </c>
      <c r="D84" s="3">
        <v>4.0000000000000002E-4</v>
      </c>
      <c r="E84" s="5">
        <f t="shared" si="9"/>
        <v>4159.0019968893885</v>
      </c>
      <c r="F84" s="5">
        <f t="shared" si="10"/>
        <v>4159</v>
      </c>
      <c r="G84" s="5">
        <f t="shared" si="11"/>
        <v>3.8889999923412688E-3</v>
      </c>
      <c r="K84" s="5">
        <f>+G84</f>
        <v>3.8889999923412688E-3</v>
      </c>
      <c r="O84" s="5">
        <f t="shared" ca="1" si="15"/>
        <v>4.6085184652165656E-3</v>
      </c>
      <c r="P84" s="5">
        <f t="shared" si="13"/>
        <v>5.997001046499862E-2</v>
      </c>
      <c r="Q84" s="7">
        <f t="shared" si="12"/>
        <v>38761.788999999997</v>
      </c>
      <c r="R84" s="5">
        <f t="shared" si="14"/>
        <v>3.1450797356343033E-3</v>
      </c>
    </row>
    <row r="85" spans="1:18" s="5" customFormat="1" ht="12.75" customHeight="1" x14ac:dyDescent="0.2">
      <c r="A85" s="37" t="s">
        <v>334</v>
      </c>
      <c r="B85" s="39" t="s">
        <v>65</v>
      </c>
      <c r="C85" s="38">
        <v>54496.975599999998</v>
      </c>
      <c r="D85" s="6"/>
      <c r="E85" s="5">
        <f t="shared" ref="E85:E91" si="16">+(C85-C$7)/C$8</f>
        <v>4526.9999060347727</v>
      </c>
      <c r="F85" s="5">
        <f t="shared" ref="F85:F91" si="17">ROUND(2*E85,0)/2</f>
        <v>4527</v>
      </c>
      <c r="G85" s="5">
        <f t="shared" ref="G85:G91" si="18">+C85-(C$7+F85*C$8)</f>
        <v>-1.8300000374438241E-4</v>
      </c>
      <c r="K85" s="5">
        <f>+G85</f>
        <v>-1.8300000374438241E-4</v>
      </c>
      <c r="O85" s="5">
        <f t="shared" ca="1" si="15"/>
        <v>-6.7042795999140425E-3</v>
      </c>
      <c r="P85" s="5">
        <f t="shared" si="13"/>
        <v>7.2395818810907162E-2</v>
      </c>
      <c r="Q85" s="7">
        <f t="shared" ref="Q85:Q91" si="19">+C85-15018.5</f>
        <v>39478.475599999998</v>
      </c>
      <c r="R85" s="5">
        <f t="shared" si="14"/>
        <v>5.2676849405300166E-3</v>
      </c>
    </row>
    <row r="86" spans="1:18" s="5" customFormat="1" ht="12.75" customHeight="1" x14ac:dyDescent="0.2">
      <c r="A86" s="13" t="s">
        <v>78</v>
      </c>
      <c r="B86" s="12" t="s">
        <v>79</v>
      </c>
      <c r="C86" s="14">
        <v>54511.571400000001</v>
      </c>
      <c r="D86" s="14">
        <v>2.9999999999999997E-4</v>
      </c>
      <c r="E86" s="19">
        <f t="shared" si="16"/>
        <v>4534.494428581037</v>
      </c>
      <c r="F86" s="5">
        <f t="shared" si="17"/>
        <v>4534.5</v>
      </c>
      <c r="G86" s="5">
        <f t="shared" si="18"/>
        <v>-1.0850500002561603E-2</v>
      </c>
      <c r="K86" s="5">
        <f t="shared" ref="K86:K91" si="20">+G86</f>
        <v>-1.0850500002561603E-2</v>
      </c>
      <c r="O86" s="5">
        <f t="shared" ca="1" si="15"/>
        <v>-6.9348393430892497E-3</v>
      </c>
      <c r="P86" s="5">
        <f t="shared" ref="P86:P91" si="21">+D$11+D$12*F86+D$13*F86^2</f>
        <v>7.2661097477773343E-2</v>
      </c>
      <c r="Q86" s="7">
        <f t="shared" si="19"/>
        <v>39493.071400000001</v>
      </c>
      <c r="R86" s="5">
        <f t="shared" ref="R86:R91" si="22">+(P86-G86)^2</f>
        <v>6.9741869137174856E-3</v>
      </c>
    </row>
    <row r="87" spans="1:18" s="5" customFormat="1" ht="12.75" customHeight="1" x14ac:dyDescent="0.2">
      <c r="A87" s="14" t="s">
        <v>81</v>
      </c>
      <c r="B87" s="12" t="s">
        <v>79</v>
      </c>
      <c r="C87" s="14">
        <v>54842.684399999998</v>
      </c>
      <c r="D87" s="14">
        <v>1.5E-3</v>
      </c>
      <c r="E87" s="19">
        <f t="shared" si="16"/>
        <v>4704.5114090727257</v>
      </c>
      <c r="F87" s="5">
        <f t="shared" si="17"/>
        <v>4704.5</v>
      </c>
      <c r="G87" s="5">
        <f t="shared" si="18"/>
        <v>2.2219499995117076E-2</v>
      </c>
      <c r="K87" s="5">
        <f t="shared" si="20"/>
        <v>2.2219499995117076E-2</v>
      </c>
      <c r="O87" s="5">
        <f t="shared" ca="1" si="15"/>
        <v>-1.2160860188394157E-2</v>
      </c>
      <c r="P87" s="5">
        <f t="shared" si="21"/>
        <v>7.8803033947451737E-2</v>
      </c>
      <c r="Q87" s="7">
        <f t="shared" si="19"/>
        <v>39824.184399999998</v>
      </c>
      <c r="R87" s="5">
        <f t="shared" si="22"/>
        <v>3.2016963145350091E-3</v>
      </c>
    </row>
    <row r="88" spans="1:18" s="5" customFormat="1" ht="12.75" customHeight="1" x14ac:dyDescent="0.2">
      <c r="A88" s="3" t="s">
        <v>83</v>
      </c>
      <c r="B88" s="17" t="s">
        <v>65</v>
      </c>
      <c r="C88" s="3">
        <v>54857.2647</v>
      </c>
      <c r="D88" s="3">
        <v>2.0000000000000001E-4</v>
      </c>
      <c r="E88" s="19">
        <f t="shared" si="16"/>
        <v>4711.9979728158078</v>
      </c>
      <c r="F88" s="5">
        <f t="shared" si="17"/>
        <v>4712</v>
      </c>
      <c r="G88" s="5">
        <f t="shared" si="18"/>
        <v>-3.9480000050389208E-3</v>
      </c>
      <c r="K88" s="5">
        <f t="shared" si="20"/>
        <v>-3.9480000050389208E-3</v>
      </c>
      <c r="O88" s="5">
        <f t="shared" ca="1" si="15"/>
        <v>-1.2391419931569364E-2</v>
      </c>
      <c r="P88" s="5">
        <f t="shared" si="21"/>
        <v>7.9079690851439524E-2</v>
      </c>
      <c r="Q88" s="7">
        <f t="shared" si="19"/>
        <v>39838.7647</v>
      </c>
      <c r="R88" s="5">
        <f t="shared" si="22"/>
        <v>6.8935974489589547E-3</v>
      </c>
    </row>
    <row r="89" spans="1:18" s="5" customFormat="1" ht="12.75" customHeight="1" x14ac:dyDescent="0.2">
      <c r="A89" s="3" t="s">
        <v>84</v>
      </c>
      <c r="B89" s="17" t="s">
        <v>65</v>
      </c>
      <c r="C89" s="3">
        <v>55583.676599999999</v>
      </c>
      <c r="D89" s="3">
        <v>2.0000000000000001E-4</v>
      </c>
      <c r="E89" s="19">
        <f t="shared" si="16"/>
        <v>5084.9895431595605</v>
      </c>
      <c r="F89" s="5">
        <f t="shared" si="17"/>
        <v>5085</v>
      </c>
      <c r="G89" s="5">
        <f t="shared" si="18"/>
        <v>-2.0365000003948808E-2</v>
      </c>
      <c r="K89" s="5">
        <f t="shared" si="20"/>
        <v>-2.0365000003948808E-2</v>
      </c>
      <c r="O89" s="5">
        <f t="shared" ca="1" si="15"/>
        <v>-2.3857924492150101E-2</v>
      </c>
      <c r="P89" s="5">
        <f t="shared" si="21"/>
        <v>9.3445286086139265E-2</v>
      </c>
      <c r="Q89" s="7">
        <f t="shared" si="19"/>
        <v>40565.176599999999</v>
      </c>
      <c r="R89" s="5">
        <f t="shared" si="22"/>
        <v>1.2952781219907695E-2</v>
      </c>
    </row>
    <row r="90" spans="1:18" s="5" customFormat="1" ht="12.75" customHeight="1" x14ac:dyDescent="0.2">
      <c r="A90" s="15" t="s">
        <v>86</v>
      </c>
      <c r="B90" s="16" t="s">
        <v>65</v>
      </c>
      <c r="C90" s="15">
        <v>56220.4931</v>
      </c>
      <c r="D90" s="15">
        <v>5.0000000000000001E-4</v>
      </c>
      <c r="E90" s="19">
        <f t="shared" si="16"/>
        <v>5411.9764583736605</v>
      </c>
      <c r="F90" s="5">
        <f t="shared" si="17"/>
        <v>5412</v>
      </c>
      <c r="G90" s="5">
        <f t="shared" si="18"/>
        <v>-4.5848000001569744E-2</v>
      </c>
      <c r="K90" s="5">
        <f t="shared" si="20"/>
        <v>-4.5848000001569744E-2</v>
      </c>
      <c r="O90" s="5">
        <f t="shared" ca="1" si="15"/>
        <v>-3.3910329294589536E-2</v>
      </c>
      <c r="P90" s="5">
        <f t="shared" si="21"/>
        <v>0.10701746083283163</v>
      </c>
      <c r="Q90" s="7">
        <f t="shared" si="19"/>
        <v>41201.9931</v>
      </c>
      <c r="R90" s="5">
        <f t="shared" si="22"/>
        <v>2.3367849116113906E-2</v>
      </c>
    </row>
    <row r="91" spans="1:18" s="5" customFormat="1" ht="12.75" customHeight="1" x14ac:dyDescent="0.2">
      <c r="A91" s="13" t="s">
        <v>85</v>
      </c>
      <c r="B91" s="12" t="s">
        <v>65</v>
      </c>
      <c r="C91" s="14">
        <v>56245.808700000001</v>
      </c>
      <c r="D91" s="14">
        <v>1.6000000000000001E-4</v>
      </c>
      <c r="E91" s="19">
        <f t="shared" si="16"/>
        <v>5424.9752891998005</v>
      </c>
      <c r="F91" s="5">
        <f t="shared" si="17"/>
        <v>5425</v>
      </c>
      <c r="G91" s="5">
        <f t="shared" si="18"/>
        <v>-4.8125000001164153E-2</v>
      </c>
      <c r="K91" s="5">
        <f t="shared" si="20"/>
        <v>-4.8125000001164153E-2</v>
      </c>
      <c r="O91" s="5">
        <f t="shared" ca="1" si="15"/>
        <v>-3.4309966182759916E-2</v>
      </c>
      <c r="P91" s="5">
        <f t="shared" si="21"/>
        <v>0.10757591635497636</v>
      </c>
      <c r="Q91" s="7">
        <f t="shared" si="19"/>
        <v>41227.308700000001</v>
      </c>
      <c r="R91" s="5">
        <f t="shared" si="22"/>
        <v>2.424277535414187E-2</v>
      </c>
    </row>
    <row r="92" spans="1:18" s="5" customFormat="1" ht="12.75" customHeight="1" x14ac:dyDescent="0.2">
      <c r="C92" s="6"/>
      <c r="D92" s="6"/>
    </row>
    <row r="93" spans="1:18" s="5" customFormat="1" ht="12.75" customHeight="1" x14ac:dyDescent="0.2">
      <c r="C93" s="6"/>
      <c r="D93" s="6"/>
    </row>
    <row r="94" spans="1:18" s="5" customFormat="1" ht="12.75" customHeight="1" x14ac:dyDescent="0.2">
      <c r="C94" s="6"/>
      <c r="D94" s="6"/>
    </row>
    <row r="95" spans="1:18" s="5" customFormat="1" ht="12.75" customHeight="1" x14ac:dyDescent="0.2">
      <c r="C95" s="6"/>
      <c r="D95" s="6"/>
    </row>
    <row r="96" spans="1:18" s="5" customFormat="1" ht="12.75" customHeight="1" x14ac:dyDescent="0.2">
      <c r="C96" s="6"/>
      <c r="D96" s="6"/>
    </row>
    <row r="97" spans="3:4" s="5" customFormat="1" ht="12.75" customHeight="1" x14ac:dyDescent="0.2">
      <c r="C97" s="6"/>
      <c r="D97" s="6"/>
    </row>
    <row r="98" spans="3:4" s="5" customFormat="1" ht="12.75" customHeight="1" x14ac:dyDescent="0.2">
      <c r="C98" s="6"/>
      <c r="D98" s="6"/>
    </row>
    <row r="99" spans="3:4" s="5" customFormat="1" ht="12.75" customHeight="1" x14ac:dyDescent="0.2">
      <c r="C99" s="6"/>
      <c r="D99" s="6"/>
    </row>
    <row r="100" spans="3:4" s="5" customFormat="1" ht="12.75" customHeight="1" x14ac:dyDescent="0.2">
      <c r="C100" s="6"/>
      <c r="D100" s="6"/>
    </row>
    <row r="101" spans="3:4" s="5" customFormat="1" ht="12.75" customHeight="1" x14ac:dyDescent="0.2">
      <c r="C101" s="6"/>
      <c r="D101" s="6"/>
    </row>
    <row r="102" spans="3:4" s="5" customFormat="1" ht="12.75" customHeight="1" x14ac:dyDescent="0.2">
      <c r="C102" s="6"/>
      <c r="D102" s="6"/>
    </row>
    <row r="103" spans="3:4" s="5" customFormat="1" ht="12.75" customHeight="1" x14ac:dyDescent="0.2">
      <c r="C103" s="6"/>
      <c r="D103" s="6"/>
    </row>
    <row r="104" spans="3:4" s="5" customFormat="1" ht="12.75" customHeight="1" x14ac:dyDescent="0.2">
      <c r="C104" s="6"/>
      <c r="D104" s="6"/>
    </row>
    <row r="105" spans="3:4" s="5" customFormat="1" ht="12.75" customHeight="1" x14ac:dyDescent="0.2">
      <c r="C105" s="6"/>
      <c r="D105" s="6"/>
    </row>
    <row r="106" spans="3:4" s="5" customFormat="1" ht="12.75" customHeight="1" x14ac:dyDescent="0.2">
      <c r="C106" s="6"/>
      <c r="D106" s="6"/>
    </row>
    <row r="107" spans="3:4" s="5" customFormat="1" ht="12.75" customHeight="1" x14ac:dyDescent="0.2">
      <c r="C107" s="6"/>
      <c r="D107" s="6"/>
    </row>
    <row r="108" spans="3:4" s="5" customFormat="1" ht="12.75" customHeight="1" x14ac:dyDescent="0.2">
      <c r="C108" s="6"/>
      <c r="D108" s="6"/>
    </row>
    <row r="109" spans="3:4" s="5" customFormat="1" ht="12.75" customHeight="1" x14ac:dyDescent="0.2">
      <c r="C109" s="6"/>
      <c r="D109" s="6"/>
    </row>
    <row r="110" spans="3:4" s="5" customFormat="1" ht="12.75" customHeight="1" x14ac:dyDescent="0.2">
      <c r="C110" s="6"/>
      <c r="D110" s="6"/>
    </row>
    <row r="111" spans="3:4" s="5" customFormat="1" ht="12.75" customHeight="1" x14ac:dyDescent="0.2">
      <c r="C111" s="6"/>
      <c r="D111" s="6"/>
    </row>
    <row r="112" spans="3:4" s="5" customFormat="1" ht="12.75" customHeight="1" x14ac:dyDescent="0.2">
      <c r="C112" s="6"/>
      <c r="D112" s="6"/>
    </row>
    <row r="113" spans="3:4" s="5" customFormat="1" ht="12.75" customHeight="1" x14ac:dyDescent="0.2">
      <c r="C113" s="6"/>
      <c r="D113" s="6"/>
    </row>
    <row r="114" spans="3:4" s="5" customFormat="1" ht="12.75" customHeight="1" x14ac:dyDescent="0.2">
      <c r="C114" s="6"/>
      <c r="D114" s="6"/>
    </row>
    <row r="115" spans="3:4" s="5" customFormat="1" ht="12.75" customHeight="1" x14ac:dyDescent="0.2">
      <c r="C115" s="6"/>
      <c r="D115" s="6"/>
    </row>
    <row r="116" spans="3:4" s="5" customFormat="1" ht="12.75" customHeight="1" x14ac:dyDescent="0.2">
      <c r="C116" s="6"/>
      <c r="D116" s="6"/>
    </row>
    <row r="117" spans="3:4" s="5" customFormat="1" ht="12.75" customHeight="1" x14ac:dyDescent="0.2">
      <c r="C117" s="6"/>
      <c r="D117" s="6"/>
    </row>
    <row r="118" spans="3:4" s="5" customFormat="1" ht="12.75" customHeight="1" x14ac:dyDescent="0.2">
      <c r="C118" s="6"/>
      <c r="D118" s="6"/>
    </row>
    <row r="119" spans="3:4" s="5" customFormat="1" ht="12.75" customHeight="1" x14ac:dyDescent="0.2">
      <c r="C119" s="6"/>
      <c r="D119" s="6"/>
    </row>
    <row r="120" spans="3:4" s="5" customFormat="1" ht="12.75" customHeight="1" x14ac:dyDescent="0.2">
      <c r="C120" s="6"/>
      <c r="D120" s="6"/>
    </row>
    <row r="121" spans="3:4" s="5" customFormat="1" ht="12.75" customHeight="1" x14ac:dyDescent="0.2">
      <c r="C121" s="6"/>
      <c r="D121" s="6"/>
    </row>
    <row r="122" spans="3:4" s="5" customFormat="1" ht="12.75" customHeight="1" x14ac:dyDescent="0.2">
      <c r="C122" s="6"/>
      <c r="D122" s="6"/>
    </row>
    <row r="123" spans="3:4" s="5" customFormat="1" ht="12.75" customHeight="1" x14ac:dyDescent="0.2">
      <c r="C123" s="6"/>
      <c r="D123" s="6"/>
    </row>
    <row r="124" spans="3:4" s="5" customFormat="1" ht="12.75" customHeight="1" x14ac:dyDescent="0.2">
      <c r="C124" s="6"/>
      <c r="D124" s="6"/>
    </row>
    <row r="125" spans="3:4" s="5" customFormat="1" x14ac:dyDescent="0.2">
      <c r="C125" s="6"/>
      <c r="D125" s="6"/>
    </row>
    <row r="126" spans="3:4" s="5" customFormat="1" x14ac:dyDescent="0.2">
      <c r="C126" s="6"/>
      <c r="D126" s="6"/>
    </row>
    <row r="127" spans="3:4" s="5" customFormat="1" x14ac:dyDescent="0.2">
      <c r="C127" s="6"/>
      <c r="D127" s="6"/>
    </row>
    <row r="128" spans="3:4" s="5" customFormat="1" x14ac:dyDescent="0.2">
      <c r="C128" s="6"/>
      <c r="D128" s="6"/>
    </row>
    <row r="129" spans="3:4" s="5" customFormat="1" x14ac:dyDescent="0.2">
      <c r="C129" s="6"/>
      <c r="D129" s="6"/>
    </row>
    <row r="130" spans="3:4" s="5" customFormat="1" x14ac:dyDescent="0.2">
      <c r="C130" s="6"/>
      <c r="D130" s="6"/>
    </row>
    <row r="131" spans="3:4" s="5" customFormat="1" x14ac:dyDescent="0.2">
      <c r="C131" s="6"/>
      <c r="D131" s="6"/>
    </row>
    <row r="132" spans="3:4" s="5" customFormat="1" x14ac:dyDescent="0.2">
      <c r="C132" s="6"/>
      <c r="D132" s="6"/>
    </row>
    <row r="133" spans="3:4" s="5" customFormat="1" x14ac:dyDescent="0.2">
      <c r="C133" s="6"/>
      <c r="D133" s="6"/>
    </row>
    <row r="134" spans="3:4" s="5" customFormat="1" x14ac:dyDescent="0.2">
      <c r="C134" s="6"/>
      <c r="D134" s="6"/>
    </row>
    <row r="135" spans="3:4" s="5" customFormat="1" x14ac:dyDescent="0.2">
      <c r="C135" s="6"/>
      <c r="D135" s="6"/>
    </row>
    <row r="136" spans="3:4" s="5" customFormat="1" x14ac:dyDescent="0.2">
      <c r="C136" s="6"/>
      <c r="D136" s="6"/>
    </row>
    <row r="137" spans="3:4" s="5" customFormat="1" x14ac:dyDescent="0.2">
      <c r="C137" s="6"/>
      <c r="D137" s="6"/>
    </row>
    <row r="138" spans="3:4" s="5" customFormat="1" x14ac:dyDescent="0.2">
      <c r="C138" s="6"/>
      <c r="D138" s="6"/>
    </row>
    <row r="139" spans="3:4" s="5" customFormat="1" x14ac:dyDescent="0.2">
      <c r="C139" s="6"/>
      <c r="D139" s="6"/>
    </row>
    <row r="140" spans="3:4" s="5" customFormat="1" x14ac:dyDescent="0.2">
      <c r="C140" s="6"/>
      <c r="D140" s="6"/>
    </row>
    <row r="141" spans="3:4" s="5" customFormat="1" x14ac:dyDescent="0.2">
      <c r="C141" s="6"/>
      <c r="D141" s="6"/>
    </row>
    <row r="142" spans="3:4" s="5" customFormat="1" x14ac:dyDescent="0.2">
      <c r="C142" s="6"/>
      <c r="D142" s="6"/>
    </row>
    <row r="143" spans="3:4" s="5" customFormat="1" x14ac:dyDescent="0.2">
      <c r="C143" s="6"/>
      <c r="D143" s="6"/>
    </row>
    <row r="144" spans="3:4" s="5" customFormat="1" x14ac:dyDescent="0.2">
      <c r="C144" s="6"/>
      <c r="D144" s="6"/>
    </row>
    <row r="145" spans="3:4" s="5" customFormat="1" x14ac:dyDescent="0.2">
      <c r="C145" s="6"/>
      <c r="D145" s="6"/>
    </row>
    <row r="146" spans="3:4" s="5" customFormat="1" x14ac:dyDescent="0.2">
      <c r="C146" s="6"/>
      <c r="D146" s="6"/>
    </row>
    <row r="147" spans="3:4" s="5" customFormat="1" x14ac:dyDescent="0.2">
      <c r="C147" s="6"/>
      <c r="D147" s="6"/>
    </row>
    <row r="148" spans="3:4" s="5" customFormat="1" x14ac:dyDescent="0.2">
      <c r="C148" s="6"/>
      <c r="D148" s="6"/>
    </row>
    <row r="149" spans="3:4" s="5" customFormat="1" x14ac:dyDescent="0.2">
      <c r="C149" s="6"/>
      <c r="D149" s="6"/>
    </row>
    <row r="150" spans="3:4" s="5" customFormat="1" x14ac:dyDescent="0.2">
      <c r="C150" s="6"/>
      <c r="D150" s="6"/>
    </row>
    <row r="151" spans="3:4" s="5" customFormat="1" x14ac:dyDescent="0.2">
      <c r="C151" s="6"/>
      <c r="D151" s="6"/>
    </row>
    <row r="152" spans="3:4" s="5" customFormat="1" x14ac:dyDescent="0.2">
      <c r="C152" s="6"/>
      <c r="D152" s="6"/>
    </row>
    <row r="153" spans="3:4" s="5" customFormat="1" x14ac:dyDescent="0.2">
      <c r="C153" s="6"/>
      <c r="D153" s="6"/>
    </row>
    <row r="154" spans="3:4" s="5" customFormat="1" x14ac:dyDescent="0.2">
      <c r="C154" s="6"/>
      <c r="D154" s="6"/>
    </row>
    <row r="155" spans="3:4" s="5" customFormat="1" x14ac:dyDescent="0.2">
      <c r="C155" s="6"/>
      <c r="D155" s="6"/>
    </row>
    <row r="156" spans="3:4" s="5" customFormat="1" x14ac:dyDescent="0.2">
      <c r="C156" s="6"/>
      <c r="D156" s="6"/>
    </row>
    <row r="157" spans="3:4" s="5" customFormat="1" x14ac:dyDescent="0.2">
      <c r="C157" s="6"/>
      <c r="D157" s="6"/>
    </row>
    <row r="158" spans="3:4" s="5" customFormat="1" x14ac:dyDescent="0.2">
      <c r="C158" s="6"/>
      <c r="D158" s="6"/>
    </row>
    <row r="159" spans="3:4" s="5" customFormat="1" x14ac:dyDescent="0.2">
      <c r="C159" s="6"/>
      <c r="D159" s="6"/>
    </row>
    <row r="160" spans="3:4" s="5" customFormat="1" x14ac:dyDescent="0.2">
      <c r="C160" s="6"/>
      <c r="D160" s="6"/>
    </row>
    <row r="161" spans="3:4" s="5" customFormat="1" x14ac:dyDescent="0.2">
      <c r="C161" s="6"/>
      <c r="D161" s="6"/>
    </row>
    <row r="162" spans="3:4" s="5" customFormat="1" x14ac:dyDescent="0.2">
      <c r="C162" s="6"/>
      <c r="D162" s="6"/>
    </row>
    <row r="163" spans="3:4" s="5" customFormat="1" x14ac:dyDescent="0.2">
      <c r="C163" s="6"/>
      <c r="D163" s="6"/>
    </row>
    <row r="164" spans="3:4" s="5" customFormat="1" x14ac:dyDescent="0.2">
      <c r="C164" s="6"/>
      <c r="D164" s="6"/>
    </row>
    <row r="165" spans="3:4" s="5" customFormat="1" x14ac:dyDescent="0.2">
      <c r="C165" s="6"/>
      <c r="D165" s="6"/>
    </row>
    <row r="166" spans="3:4" s="5" customFormat="1" x14ac:dyDescent="0.2">
      <c r="C166" s="6"/>
      <c r="D166" s="6"/>
    </row>
    <row r="167" spans="3:4" s="5" customFormat="1" x14ac:dyDescent="0.2">
      <c r="C167" s="6"/>
      <c r="D167" s="6"/>
    </row>
    <row r="168" spans="3:4" s="5" customFormat="1" x14ac:dyDescent="0.2">
      <c r="C168" s="6"/>
      <c r="D168" s="6"/>
    </row>
    <row r="169" spans="3:4" s="5" customFormat="1" x14ac:dyDescent="0.2">
      <c r="C169" s="6"/>
      <c r="D169" s="6"/>
    </row>
    <row r="170" spans="3:4" s="5" customFormat="1" x14ac:dyDescent="0.2">
      <c r="C170" s="6"/>
      <c r="D170" s="6"/>
    </row>
    <row r="171" spans="3:4" s="5" customFormat="1" x14ac:dyDescent="0.2">
      <c r="C171" s="6"/>
      <c r="D171" s="6"/>
    </row>
    <row r="172" spans="3:4" s="5" customFormat="1" x14ac:dyDescent="0.2">
      <c r="C172" s="6"/>
      <c r="D172" s="6"/>
    </row>
    <row r="173" spans="3:4" s="5" customFormat="1" x14ac:dyDescent="0.2">
      <c r="C173" s="6"/>
      <c r="D173" s="6"/>
    </row>
    <row r="174" spans="3:4" s="5" customFormat="1" x14ac:dyDescent="0.2">
      <c r="C174" s="6"/>
      <c r="D174" s="6"/>
    </row>
    <row r="175" spans="3:4" s="5" customFormat="1" x14ac:dyDescent="0.2">
      <c r="C175" s="6"/>
      <c r="D175" s="6"/>
    </row>
    <row r="176" spans="3:4" s="5" customFormat="1" x14ac:dyDescent="0.2">
      <c r="C176" s="6"/>
      <c r="D176" s="6"/>
    </row>
    <row r="177" spans="3:4" s="5" customFormat="1" x14ac:dyDescent="0.2">
      <c r="C177" s="6"/>
      <c r="D177" s="6"/>
    </row>
    <row r="178" spans="3:4" s="5" customFormat="1" x14ac:dyDescent="0.2">
      <c r="C178" s="6"/>
      <c r="D178" s="6"/>
    </row>
    <row r="179" spans="3:4" s="5" customFormat="1" x14ac:dyDescent="0.2">
      <c r="C179" s="6"/>
      <c r="D179" s="6"/>
    </row>
    <row r="180" spans="3:4" s="5" customFormat="1" x14ac:dyDescent="0.2">
      <c r="C180" s="6"/>
      <c r="D180" s="6"/>
    </row>
    <row r="181" spans="3:4" s="5" customFormat="1" x14ac:dyDescent="0.2">
      <c r="C181" s="6"/>
      <c r="D181" s="6"/>
    </row>
    <row r="182" spans="3:4" s="5" customFormat="1" x14ac:dyDescent="0.2">
      <c r="C182" s="6"/>
      <c r="D182" s="6"/>
    </row>
    <row r="183" spans="3:4" s="5" customFormat="1" x14ac:dyDescent="0.2">
      <c r="C183" s="6"/>
      <c r="D183" s="6"/>
    </row>
    <row r="184" spans="3:4" s="5" customFormat="1" x14ac:dyDescent="0.2">
      <c r="C184" s="6"/>
      <c r="D184" s="6"/>
    </row>
    <row r="185" spans="3:4" s="5" customFormat="1" x14ac:dyDescent="0.2">
      <c r="C185" s="6"/>
      <c r="D185" s="6"/>
    </row>
    <row r="186" spans="3:4" s="5" customFormat="1" x14ac:dyDescent="0.2">
      <c r="C186" s="6"/>
      <c r="D186" s="6"/>
    </row>
    <row r="187" spans="3:4" s="5" customFormat="1" x14ac:dyDescent="0.2">
      <c r="C187" s="6"/>
      <c r="D187" s="6"/>
    </row>
    <row r="188" spans="3:4" s="5" customFormat="1" x14ac:dyDescent="0.2">
      <c r="C188" s="6"/>
      <c r="D188" s="6"/>
    </row>
    <row r="189" spans="3:4" s="5" customFormat="1" x14ac:dyDescent="0.2">
      <c r="C189" s="6"/>
      <c r="D189" s="6"/>
    </row>
    <row r="190" spans="3:4" s="5" customFormat="1" x14ac:dyDescent="0.2">
      <c r="C190" s="6"/>
      <c r="D190" s="6"/>
    </row>
    <row r="191" spans="3:4" s="5" customFormat="1" x14ac:dyDescent="0.2">
      <c r="C191" s="6"/>
      <c r="D191" s="6"/>
    </row>
    <row r="192" spans="3:4" s="5" customFormat="1" x14ac:dyDescent="0.2">
      <c r="C192" s="6"/>
      <c r="D192" s="6"/>
    </row>
    <row r="193" spans="3:4" s="5" customFormat="1" x14ac:dyDescent="0.2">
      <c r="C193" s="6"/>
      <c r="D193" s="6"/>
    </row>
    <row r="194" spans="3:4" s="5" customFormat="1" x14ac:dyDescent="0.2">
      <c r="C194" s="6"/>
      <c r="D194" s="6"/>
    </row>
    <row r="195" spans="3:4" s="5" customFormat="1" x14ac:dyDescent="0.2">
      <c r="C195" s="6"/>
      <c r="D195" s="6"/>
    </row>
    <row r="196" spans="3:4" s="5" customFormat="1" x14ac:dyDescent="0.2">
      <c r="C196" s="6"/>
      <c r="D196" s="6"/>
    </row>
    <row r="197" spans="3:4" s="5" customFormat="1" x14ac:dyDescent="0.2">
      <c r="C197" s="6"/>
      <c r="D197" s="6"/>
    </row>
    <row r="198" spans="3:4" s="5" customFormat="1" x14ac:dyDescent="0.2">
      <c r="C198" s="6"/>
      <c r="D198" s="6"/>
    </row>
    <row r="199" spans="3:4" s="5" customFormat="1" x14ac:dyDescent="0.2">
      <c r="C199" s="6"/>
      <c r="D199" s="6"/>
    </row>
    <row r="200" spans="3:4" s="5" customFormat="1" x14ac:dyDescent="0.2">
      <c r="C200" s="6"/>
      <c r="D200" s="6"/>
    </row>
    <row r="201" spans="3:4" s="5" customFormat="1" x14ac:dyDescent="0.2">
      <c r="C201" s="6"/>
      <c r="D201" s="6"/>
    </row>
    <row r="202" spans="3:4" s="5" customFormat="1" x14ac:dyDescent="0.2">
      <c r="C202" s="6"/>
      <c r="D202" s="6"/>
    </row>
    <row r="203" spans="3:4" s="5" customFormat="1" x14ac:dyDescent="0.2">
      <c r="C203" s="6"/>
      <c r="D203" s="6"/>
    </row>
    <row r="204" spans="3:4" s="5" customFormat="1" x14ac:dyDescent="0.2">
      <c r="C204" s="6"/>
      <c r="D204" s="6"/>
    </row>
    <row r="205" spans="3:4" s="5" customFormat="1" x14ac:dyDescent="0.2">
      <c r="C205" s="6"/>
      <c r="D205" s="6"/>
    </row>
    <row r="206" spans="3:4" s="5" customFormat="1" x14ac:dyDescent="0.2">
      <c r="C206" s="6"/>
      <c r="D206" s="6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2"/>
  <sheetViews>
    <sheetView topLeftCell="A43" workbookViewId="0">
      <selection activeCell="A76" sqref="A76:C79"/>
    </sheetView>
  </sheetViews>
  <sheetFormatPr defaultRowHeight="12.75" x14ac:dyDescent="0.2"/>
  <cols>
    <col min="1" max="1" width="19.7109375" style="24" customWidth="1"/>
    <col min="2" max="2" width="4.42578125" style="23" customWidth="1"/>
    <col min="3" max="3" width="12.7109375" style="24" customWidth="1"/>
    <col min="4" max="4" width="5.42578125" style="23" customWidth="1"/>
    <col min="5" max="5" width="14.85546875" style="23" customWidth="1"/>
    <col min="6" max="6" width="9.140625" style="23"/>
    <col min="7" max="7" width="12" style="23" customWidth="1"/>
    <col min="8" max="8" width="14.140625" style="24" customWidth="1"/>
    <col min="9" max="9" width="22.5703125" style="23" customWidth="1"/>
    <col min="10" max="10" width="25.140625" style="23" customWidth="1"/>
    <col min="11" max="11" width="15.7109375" style="23" customWidth="1"/>
    <col min="12" max="12" width="14.140625" style="23" customWidth="1"/>
    <col min="13" max="13" width="9.5703125" style="23" customWidth="1"/>
    <col min="14" max="14" width="14.140625" style="23" customWidth="1"/>
    <col min="15" max="15" width="23.42578125" style="23" customWidth="1"/>
    <col min="16" max="16" width="16.5703125" style="23" customWidth="1"/>
    <col min="17" max="17" width="41" style="23" customWidth="1"/>
    <col min="18" max="16384" width="9.140625" style="23"/>
  </cols>
  <sheetData>
    <row r="1" spans="1:16" ht="15.75" x14ac:dyDescent="0.25">
      <c r="A1" s="22" t="s">
        <v>87</v>
      </c>
      <c r="I1" s="25" t="s">
        <v>88</v>
      </c>
      <c r="J1" s="26" t="s">
        <v>89</v>
      </c>
    </row>
    <row r="2" spans="1:16" x14ac:dyDescent="0.2">
      <c r="I2" s="27" t="s">
        <v>90</v>
      </c>
      <c r="J2" s="28" t="s">
        <v>91</v>
      </c>
    </row>
    <row r="3" spans="1:16" x14ac:dyDescent="0.2">
      <c r="A3" s="29" t="s">
        <v>92</v>
      </c>
      <c r="I3" s="27" t="s">
        <v>93</v>
      </c>
      <c r="J3" s="28" t="s">
        <v>62</v>
      </c>
    </row>
    <row r="4" spans="1:16" x14ac:dyDescent="0.2">
      <c r="I4" s="27" t="s">
        <v>94</v>
      </c>
      <c r="J4" s="28" t="s">
        <v>62</v>
      </c>
    </row>
    <row r="5" spans="1:16" ht="13.5" thickBot="1" x14ac:dyDescent="0.25">
      <c r="I5" s="30" t="s">
        <v>95</v>
      </c>
      <c r="J5" s="31" t="s">
        <v>96</v>
      </c>
    </row>
    <row r="10" spans="1:16" ht="13.5" thickBot="1" x14ac:dyDescent="0.25"/>
    <row r="11" spans="1:16" ht="12.75" customHeight="1" thickBot="1" x14ac:dyDescent="0.25">
      <c r="A11" s="24" t="str">
        <f t="shared" ref="A11:A42" si="0">P11</f>
        <v> AN 252.391 </v>
      </c>
      <c r="B11" s="2" t="str">
        <f t="shared" ref="B11:B42" si="1">IF(H11=INT(H11),"I","II")</f>
        <v>I</v>
      </c>
      <c r="C11" s="24">
        <f t="shared" ref="C11:C42" si="2">1*G11</f>
        <v>26988.576000000001</v>
      </c>
      <c r="D11" s="23" t="str">
        <f t="shared" ref="D11:D42" si="3">VLOOKUP(F11,I$1:J$5,2,FALSE)</f>
        <v>vis</v>
      </c>
      <c r="E11" s="32">
        <f>VLOOKUP(C11,Active!C$21:E$973,3,FALSE)</f>
        <v>-9597.7703027785465</v>
      </c>
      <c r="F11" s="2" t="s">
        <v>95</v>
      </c>
      <c r="G11" s="23" t="str">
        <f t="shared" ref="G11:G42" si="4">MID(I11,3,LEN(I11)-3)</f>
        <v>26988.576</v>
      </c>
      <c r="H11" s="24">
        <f t="shared" ref="H11:H42" si="5">1*K11</f>
        <v>-9598</v>
      </c>
      <c r="I11" s="33" t="s">
        <v>98</v>
      </c>
      <c r="J11" s="34" t="s">
        <v>99</v>
      </c>
      <c r="K11" s="33">
        <v>-9598</v>
      </c>
      <c r="L11" s="33" t="s">
        <v>100</v>
      </c>
      <c r="M11" s="34" t="s">
        <v>101</v>
      </c>
      <c r="N11" s="34"/>
      <c r="O11" s="35" t="s">
        <v>102</v>
      </c>
      <c r="P11" s="35" t="s">
        <v>103</v>
      </c>
    </row>
    <row r="12" spans="1:16" ht="12.75" customHeight="1" thickBot="1" x14ac:dyDescent="0.25">
      <c r="A12" s="24" t="str">
        <f t="shared" si="0"/>
        <v> AN 252.391 </v>
      </c>
      <c r="B12" s="2" t="str">
        <f t="shared" si="1"/>
        <v>I</v>
      </c>
      <c r="C12" s="24">
        <f t="shared" si="2"/>
        <v>27360.525000000001</v>
      </c>
      <c r="D12" s="23" t="str">
        <f t="shared" si="3"/>
        <v>vis</v>
      </c>
      <c r="E12" s="32">
        <f>VLOOKUP(C12,Active!C$21:E$973,3,FALSE)</f>
        <v>-9406.7852134679379</v>
      </c>
      <c r="F12" s="2" t="s">
        <v>95</v>
      </c>
      <c r="G12" s="23" t="str">
        <f t="shared" si="4"/>
        <v>27360.525</v>
      </c>
      <c r="H12" s="24">
        <f t="shared" si="5"/>
        <v>-9407</v>
      </c>
      <c r="I12" s="33" t="s">
        <v>104</v>
      </c>
      <c r="J12" s="34" t="s">
        <v>105</v>
      </c>
      <c r="K12" s="33">
        <v>-9407</v>
      </c>
      <c r="L12" s="33" t="s">
        <v>106</v>
      </c>
      <c r="M12" s="34" t="s">
        <v>101</v>
      </c>
      <c r="N12" s="34"/>
      <c r="O12" s="35" t="s">
        <v>102</v>
      </c>
      <c r="P12" s="35" t="s">
        <v>103</v>
      </c>
    </row>
    <row r="13" spans="1:16" ht="12.75" customHeight="1" thickBot="1" x14ac:dyDescent="0.25">
      <c r="A13" s="24" t="str">
        <f t="shared" si="0"/>
        <v> AN 252.391 </v>
      </c>
      <c r="B13" s="2" t="str">
        <f t="shared" si="1"/>
        <v>I</v>
      </c>
      <c r="C13" s="24">
        <f t="shared" si="2"/>
        <v>27479.292000000001</v>
      </c>
      <c r="D13" s="23" t="str">
        <f t="shared" si="3"/>
        <v>vis</v>
      </c>
      <c r="E13" s="32">
        <f>VLOOKUP(C13,Active!C$21:E$973,3,FALSE)</f>
        <v>-9345.8017826692194</v>
      </c>
      <c r="F13" s="2" t="s">
        <v>95</v>
      </c>
      <c r="G13" s="23" t="str">
        <f t="shared" si="4"/>
        <v>27479.292</v>
      </c>
      <c r="H13" s="24">
        <f t="shared" si="5"/>
        <v>-9346</v>
      </c>
      <c r="I13" s="33" t="s">
        <v>107</v>
      </c>
      <c r="J13" s="34" t="s">
        <v>108</v>
      </c>
      <c r="K13" s="33">
        <v>-9346</v>
      </c>
      <c r="L13" s="33" t="s">
        <v>109</v>
      </c>
      <c r="M13" s="34" t="s">
        <v>101</v>
      </c>
      <c r="N13" s="34"/>
      <c r="O13" s="35" t="s">
        <v>102</v>
      </c>
      <c r="P13" s="35" t="s">
        <v>103</v>
      </c>
    </row>
    <row r="14" spans="1:16" ht="12.75" customHeight="1" thickBot="1" x14ac:dyDescent="0.25">
      <c r="A14" s="24" t="str">
        <f t="shared" si="0"/>
        <v> AAC 2.97 </v>
      </c>
      <c r="B14" s="2" t="str">
        <f t="shared" si="1"/>
        <v>I</v>
      </c>
      <c r="C14" s="24">
        <f t="shared" si="2"/>
        <v>27773.39</v>
      </c>
      <c r="D14" s="23" t="str">
        <f t="shared" si="3"/>
        <v>vis</v>
      </c>
      <c r="E14" s="32">
        <f>VLOOKUP(C14,Active!C$21:E$973,3,FALSE)</f>
        <v>-9194.790937644575</v>
      </c>
      <c r="F14" s="2" t="s">
        <v>95</v>
      </c>
      <c r="G14" s="23" t="str">
        <f t="shared" si="4"/>
        <v>27773.390</v>
      </c>
      <c r="H14" s="24">
        <f t="shared" si="5"/>
        <v>-9195</v>
      </c>
      <c r="I14" s="33" t="s">
        <v>110</v>
      </c>
      <c r="J14" s="34" t="s">
        <v>111</v>
      </c>
      <c r="K14" s="33">
        <v>-9195</v>
      </c>
      <c r="L14" s="33" t="s">
        <v>112</v>
      </c>
      <c r="M14" s="34" t="s">
        <v>113</v>
      </c>
      <c r="N14" s="34"/>
      <c r="O14" s="35" t="s">
        <v>114</v>
      </c>
      <c r="P14" s="35" t="s">
        <v>115</v>
      </c>
    </row>
    <row r="15" spans="1:16" ht="12.75" customHeight="1" thickBot="1" x14ac:dyDescent="0.25">
      <c r="A15" s="24" t="str">
        <f t="shared" si="0"/>
        <v> SAC 23.87 </v>
      </c>
      <c r="B15" s="2" t="str">
        <f t="shared" si="1"/>
        <v>I</v>
      </c>
      <c r="C15" s="24">
        <f t="shared" si="2"/>
        <v>33744.300000000003</v>
      </c>
      <c r="D15" s="23" t="str">
        <f t="shared" si="3"/>
        <v>vis</v>
      </c>
      <c r="E15" s="32">
        <f>VLOOKUP(C15,Active!C$21:E$973,3,FALSE)</f>
        <v>-6128.9007763170657</v>
      </c>
      <c r="F15" s="2" t="s">
        <v>95</v>
      </c>
      <c r="G15" s="23" t="str">
        <f t="shared" si="4"/>
        <v>33744.30</v>
      </c>
      <c r="H15" s="24">
        <f t="shared" si="5"/>
        <v>-6129</v>
      </c>
      <c r="I15" s="33" t="s">
        <v>120</v>
      </c>
      <c r="J15" s="34" t="s">
        <v>121</v>
      </c>
      <c r="K15" s="33">
        <v>-6129</v>
      </c>
      <c r="L15" s="33" t="s">
        <v>122</v>
      </c>
      <c r="M15" s="34" t="s">
        <v>113</v>
      </c>
      <c r="N15" s="34"/>
      <c r="O15" s="35" t="s">
        <v>123</v>
      </c>
      <c r="P15" s="35" t="s">
        <v>124</v>
      </c>
    </row>
    <row r="16" spans="1:16" ht="12.75" customHeight="1" thickBot="1" x14ac:dyDescent="0.25">
      <c r="A16" s="24" t="str">
        <f t="shared" si="0"/>
        <v> AAC 5.193 </v>
      </c>
      <c r="B16" s="2" t="str">
        <f t="shared" si="1"/>
        <v>I</v>
      </c>
      <c r="C16" s="24">
        <f t="shared" si="2"/>
        <v>34661.510999999999</v>
      </c>
      <c r="D16" s="23" t="str">
        <f t="shared" si="3"/>
        <v>vis</v>
      </c>
      <c r="E16" s="32">
        <f>VLOOKUP(C16,Active!C$21:E$973,3,FALSE)</f>
        <v>-5657.9393682969567</v>
      </c>
      <c r="F16" s="2" t="s">
        <v>95</v>
      </c>
      <c r="G16" s="23" t="str">
        <f t="shared" si="4"/>
        <v>34661.511</v>
      </c>
      <c r="H16" s="24">
        <f t="shared" si="5"/>
        <v>-5658</v>
      </c>
      <c r="I16" s="33" t="s">
        <v>125</v>
      </c>
      <c r="J16" s="34" t="s">
        <v>126</v>
      </c>
      <c r="K16" s="33">
        <v>-5658</v>
      </c>
      <c r="L16" s="33" t="s">
        <v>127</v>
      </c>
      <c r="M16" s="34" t="s">
        <v>113</v>
      </c>
      <c r="N16" s="34"/>
      <c r="O16" s="35" t="s">
        <v>123</v>
      </c>
      <c r="P16" s="35" t="s">
        <v>128</v>
      </c>
    </row>
    <row r="17" spans="1:16" ht="12.75" customHeight="1" thickBot="1" x14ac:dyDescent="0.25">
      <c r="A17" s="24" t="str">
        <f t="shared" si="0"/>
        <v> AA 10.69 </v>
      </c>
      <c r="B17" s="2" t="str">
        <f t="shared" si="1"/>
        <v>I</v>
      </c>
      <c r="C17" s="24">
        <f t="shared" si="2"/>
        <v>36630.394</v>
      </c>
      <c r="D17" s="23" t="str">
        <f t="shared" si="3"/>
        <v>vis</v>
      </c>
      <c r="E17" s="32">
        <f>VLOOKUP(C17,Active!C$21:E$973,3,FALSE)</f>
        <v>-4646.9747048696072</v>
      </c>
      <c r="F17" s="2" t="s">
        <v>95</v>
      </c>
      <c r="G17" s="23" t="str">
        <f t="shared" si="4"/>
        <v>36630.394</v>
      </c>
      <c r="H17" s="24">
        <f t="shared" si="5"/>
        <v>-4647</v>
      </c>
      <c r="I17" s="33" t="s">
        <v>129</v>
      </c>
      <c r="J17" s="34" t="s">
        <v>130</v>
      </c>
      <c r="K17" s="33">
        <v>-4647</v>
      </c>
      <c r="L17" s="33" t="s">
        <v>131</v>
      </c>
      <c r="M17" s="34" t="s">
        <v>113</v>
      </c>
      <c r="N17" s="34"/>
      <c r="O17" s="35" t="s">
        <v>123</v>
      </c>
      <c r="P17" s="35" t="s">
        <v>132</v>
      </c>
    </row>
    <row r="18" spans="1:16" ht="12.75" customHeight="1" thickBot="1" x14ac:dyDescent="0.25">
      <c r="A18" s="24" t="str">
        <f t="shared" si="0"/>
        <v> BBS 27 </v>
      </c>
      <c r="B18" s="2" t="str">
        <f t="shared" si="1"/>
        <v>I</v>
      </c>
      <c r="C18" s="24">
        <f t="shared" si="2"/>
        <v>42866.336000000003</v>
      </c>
      <c r="D18" s="23" t="str">
        <f t="shared" si="3"/>
        <v>vis</v>
      </c>
      <c r="E18" s="32">
        <f>VLOOKUP(C18,Active!C$21:E$973,3,FALSE)</f>
        <v>-1444.9982516306557</v>
      </c>
      <c r="F18" s="2" t="s">
        <v>95</v>
      </c>
      <c r="G18" s="23" t="str">
        <f t="shared" si="4"/>
        <v>42866.336</v>
      </c>
      <c r="H18" s="24">
        <f t="shared" si="5"/>
        <v>-1445</v>
      </c>
      <c r="I18" s="33" t="s">
        <v>133</v>
      </c>
      <c r="J18" s="34" t="s">
        <v>134</v>
      </c>
      <c r="K18" s="33">
        <v>-1445</v>
      </c>
      <c r="L18" s="33" t="s">
        <v>135</v>
      </c>
      <c r="M18" s="34" t="s">
        <v>113</v>
      </c>
      <c r="N18" s="34"/>
      <c r="O18" s="35" t="s">
        <v>136</v>
      </c>
      <c r="P18" s="35" t="s">
        <v>137</v>
      </c>
    </row>
    <row r="19" spans="1:16" ht="12.75" customHeight="1" thickBot="1" x14ac:dyDescent="0.25">
      <c r="A19" s="24" t="str">
        <f t="shared" si="0"/>
        <v> BBS 31 </v>
      </c>
      <c r="B19" s="2" t="str">
        <f t="shared" si="1"/>
        <v>I</v>
      </c>
      <c r="C19" s="24">
        <f t="shared" si="2"/>
        <v>43127.300999999999</v>
      </c>
      <c r="D19" s="23" t="str">
        <f t="shared" si="3"/>
        <v>vis</v>
      </c>
      <c r="E19" s="32">
        <f>VLOOKUP(C19,Active!C$21:E$973,3,FALSE)</f>
        <v>-1311.0002469796357</v>
      </c>
      <c r="F19" s="2" t="s">
        <v>95</v>
      </c>
      <c r="G19" s="23" t="str">
        <f t="shared" si="4"/>
        <v>43127.301</v>
      </c>
      <c r="H19" s="24">
        <f t="shared" si="5"/>
        <v>-1311</v>
      </c>
      <c r="I19" s="33" t="s">
        <v>138</v>
      </c>
      <c r="J19" s="34" t="s">
        <v>139</v>
      </c>
      <c r="K19" s="33">
        <v>-1311</v>
      </c>
      <c r="L19" s="33" t="s">
        <v>140</v>
      </c>
      <c r="M19" s="34" t="s">
        <v>113</v>
      </c>
      <c r="N19" s="34"/>
      <c r="O19" s="35" t="s">
        <v>141</v>
      </c>
      <c r="P19" s="35" t="s">
        <v>142</v>
      </c>
    </row>
    <row r="20" spans="1:16" ht="12.75" customHeight="1" thickBot="1" x14ac:dyDescent="0.25">
      <c r="A20" s="24" t="str">
        <f t="shared" si="0"/>
        <v> BBS 35 </v>
      </c>
      <c r="B20" s="2" t="str">
        <f t="shared" si="1"/>
        <v>I</v>
      </c>
      <c r="C20" s="24">
        <f t="shared" si="2"/>
        <v>43456.436000000002</v>
      </c>
      <c r="D20" s="23" t="str">
        <f t="shared" si="3"/>
        <v>vis</v>
      </c>
      <c r="E20" s="32">
        <f>VLOOKUP(C20,Active!C$21:E$973,3,FALSE)</f>
        <v>-1141.998912468056</v>
      </c>
      <c r="F20" s="2" t="s">
        <v>95</v>
      </c>
      <c r="G20" s="23" t="str">
        <f t="shared" si="4"/>
        <v>43456.436</v>
      </c>
      <c r="H20" s="24">
        <f t="shared" si="5"/>
        <v>-1142</v>
      </c>
      <c r="I20" s="33" t="s">
        <v>143</v>
      </c>
      <c r="J20" s="34" t="s">
        <v>144</v>
      </c>
      <c r="K20" s="33">
        <v>-1142</v>
      </c>
      <c r="L20" s="33" t="s">
        <v>145</v>
      </c>
      <c r="M20" s="34" t="s">
        <v>113</v>
      </c>
      <c r="N20" s="34"/>
      <c r="O20" s="35" t="s">
        <v>141</v>
      </c>
      <c r="P20" s="35" t="s">
        <v>146</v>
      </c>
    </row>
    <row r="21" spans="1:16" ht="12.75" customHeight="1" thickBot="1" x14ac:dyDescent="0.25">
      <c r="A21" s="24" t="str">
        <f t="shared" si="0"/>
        <v> BBS 39 </v>
      </c>
      <c r="B21" s="2" t="str">
        <f t="shared" si="1"/>
        <v>I</v>
      </c>
      <c r="C21" s="24">
        <f t="shared" si="2"/>
        <v>43783.620999999999</v>
      </c>
      <c r="D21" s="23" t="str">
        <f t="shared" si="3"/>
        <v>vis</v>
      </c>
      <c r="E21" s="32">
        <f>VLOOKUP(C21,Active!C$21:E$973,3,FALSE)</f>
        <v>-973.99884674374721</v>
      </c>
      <c r="F21" s="2" t="s">
        <v>95</v>
      </c>
      <c r="G21" s="23" t="str">
        <f t="shared" si="4"/>
        <v>43783.621</v>
      </c>
      <c r="H21" s="24">
        <f t="shared" si="5"/>
        <v>-974</v>
      </c>
      <c r="I21" s="33" t="s">
        <v>147</v>
      </c>
      <c r="J21" s="34" t="s">
        <v>148</v>
      </c>
      <c r="K21" s="33">
        <v>-974</v>
      </c>
      <c r="L21" s="33" t="s">
        <v>145</v>
      </c>
      <c r="M21" s="34" t="s">
        <v>113</v>
      </c>
      <c r="N21" s="34"/>
      <c r="O21" s="35" t="s">
        <v>141</v>
      </c>
      <c r="P21" s="35" t="s">
        <v>149</v>
      </c>
    </row>
    <row r="22" spans="1:16" ht="12.75" customHeight="1" thickBot="1" x14ac:dyDescent="0.25">
      <c r="A22" s="24" t="str">
        <f t="shared" si="0"/>
        <v> BBS 40 </v>
      </c>
      <c r="B22" s="2" t="str">
        <f t="shared" si="1"/>
        <v>I</v>
      </c>
      <c r="C22" s="24">
        <f t="shared" si="2"/>
        <v>43828.434999999998</v>
      </c>
      <c r="D22" s="23" t="str">
        <f t="shared" si="3"/>
        <v>vis</v>
      </c>
      <c r="E22" s="32">
        <f>VLOOKUP(C22,Active!C$21:E$973,3,FALSE)</f>
        <v>-950.98814959880167</v>
      </c>
      <c r="F22" s="2" t="s">
        <v>95</v>
      </c>
      <c r="G22" s="23" t="str">
        <f t="shared" si="4"/>
        <v>43828.435</v>
      </c>
      <c r="H22" s="24">
        <f t="shared" si="5"/>
        <v>-951</v>
      </c>
      <c r="I22" s="33" t="s">
        <v>150</v>
      </c>
      <c r="J22" s="34" t="s">
        <v>151</v>
      </c>
      <c r="K22" s="33">
        <v>-951</v>
      </c>
      <c r="L22" s="33" t="s">
        <v>152</v>
      </c>
      <c r="M22" s="34" t="s">
        <v>113</v>
      </c>
      <c r="N22" s="34"/>
      <c r="O22" s="35" t="s">
        <v>141</v>
      </c>
      <c r="P22" s="35" t="s">
        <v>153</v>
      </c>
    </row>
    <row r="23" spans="1:16" ht="12.75" customHeight="1" thickBot="1" x14ac:dyDescent="0.25">
      <c r="A23" s="24" t="str">
        <f t="shared" si="0"/>
        <v> BBS 42 </v>
      </c>
      <c r="B23" s="2" t="str">
        <f t="shared" si="1"/>
        <v>I</v>
      </c>
      <c r="C23" s="24">
        <f t="shared" si="2"/>
        <v>43941.385000000002</v>
      </c>
      <c r="D23" s="23" t="str">
        <f t="shared" si="3"/>
        <v>vis</v>
      </c>
      <c r="E23" s="32">
        <f>VLOOKUP(C23,Active!C$21:E$973,3,FALSE)</f>
        <v>-892.99158061317723</v>
      </c>
      <c r="F23" s="2" t="s">
        <v>95</v>
      </c>
      <c r="G23" s="23" t="str">
        <f t="shared" si="4"/>
        <v>43941.385</v>
      </c>
      <c r="H23" s="24">
        <f t="shared" si="5"/>
        <v>-893</v>
      </c>
      <c r="I23" s="33" t="s">
        <v>154</v>
      </c>
      <c r="J23" s="34" t="s">
        <v>155</v>
      </c>
      <c r="K23" s="33">
        <v>-893</v>
      </c>
      <c r="L23" s="33" t="s">
        <v>156</v>
      </c>
      <c r="M23" s="34" t="s">
        <v>113</v>
      </c>
      <c r="N23" s="34"/>
      <c r="O23" s="35" t="s">
        <v>141</v>
      </c>
      <c r="P23" s="35" t="s">
        <v>157</v>
      </c>
    </row>
    <row r="24" spans="1:16" ht="12.75" customHeight="1" thickBot="1" x14ac:dyDescent="0.25">
      <c r="A24" s="24" t="str">
        <f t="shared" si="0"/>
        <v> BBS 45 </v>
      </c>
      <c r="B24" s="2" t="str">
        <f t="shared" si="1"/>
        <v>I</v>
      </c>
      <c r="C24" s="24">
        <f t="shared" si="2"/>
        <v>44118.593000000001</v>
      </c>
      <c r="D24" s="23" t="str">
        <f t="shared" si="3"/>
        <v>vis</v>
      </c>
      <c r="E24" s="32">
        <f>VLOOKUP(C24,Active!C$21:E$973,3,FALSE)</f>
        <v>-802.00038099561118</v>
      </c>
      <c r="F24" s="2" t="s">
        <v>95</v>
      </c>
      <c r="G24" s="23" t="str">
        <f t="shared" si="4"/>
        <v>44118.593</v>
      </c>
      <c r="H24" s="24">
        <f t="shared" si="5"/>
        <v>-802</v>
      </c>
      <c r="I24" s="33" t="s">
        <v>158</v>
      </c>
      <c r="J24" s="34" t="s">
        <v>159</v>
      </c>
      <c r="K24" s="33">
        <v>-802</v>
      </c>
      <c r="L24" s="33" t="s">
        <v>160</v>
      </c>
      <c r="M24" s="34" t="s">
        <v>113</v>
      </c>
      <c r="N24" s="34"/>
      <c r="O24" s="35" t="s">
        <v>141</v>
      </c>
      <c r="P24" s="35" t="s">
        <v>161</v>
      </c>
    </row>
    <row r="25" spans="1:16" ht="12.75" customHeight="1" thickBot="1" x14ac:dyDescent="0.25">
      <c r="A25" s="24" t="str">
        <f t="shared" si="0"/>
        <v> BBS 46 </v>
      </c>
      <c r="B25" s="2" t="str">
        <f t="shared" si="1"/>
        <v>I</v>
      </c>
      <c r="C25" s="24">
        <f t="shared" si="2"/>
        <v>44278.298999999999</v>
      </c>
      <c r="D25" s="23" t="str">
        <f t="shared" si="3"/>
        <v>vis</v>
      </c>
      <c r="E25" s="32">
        <f>VLOOKUP(C25,Active!C$21:E$973,3,FALSE)</f>
        <v>-719.99595384715883</v>
      </c>
      <c r="F25" s="2" t="s">
        <v>95</v>
      </c>
      <c r="G25" s="23" t="str">
        <f t="shared" si="4"/>
        <v>44278.299</v>
      </c>
      <c r="H25" s="24">
        <f t="shared" si="5"/>
        <v>-720</v>
      </c>
      <c r="I25" s="33" t="s">
        <v>162</v>
      </c>
      <c r="J25" s="34" t="s">
        <v>163</v>
      </c>
      <c r="K25" s="33">
        <v>-720</v>
      </c>
      <c r="L25" s="33" t="s">
        <v>164</v>
      </c>
      <c r="M25" s="34" t="s">
        <v>113</v>
      </c>
      <c r="N25" s="34"/>
      <c r="O25" s="35" t="s">
        <v>141</v>
      </c>
      <c r="P25" s="35" t="s">
        <v>165</v>
      </c>
    </row>
    <row r="26" spans="1:16" ht="12.75" customHeight="1" thickBot="1" x14ac:dyDescent="0.25">
      <c r="A26" s="24" t="str">
        <f t="shared" si="0"/>
        <v> BBS 51 </v>
      </c>
      <c r="B26" s="2" t="str">
        <f t="shared" si="1"/>
        <v>I</v>
      </c>
      <c r="C26" s="24">
        <f t="shared" si="2"/>
        <v>44564.597000000002</v>
      </c>
      <c r="D26" s="23" t="str">
        <f t="shared" si="3"/>
        <v>vis</v>
      </c>
      <c r="E26" s="32">
        <f>VLOOKUP(C26,Active!C$21:E$973,3,FALSE)</f>
        <v>-572.99018397158704</v>
      </c>
      <c r="F26" s="2" t="s">
        <v>95</v>
      </c>
      <c r="G26" s="23" t="str">
        <f t="shared" si="4"/>
        <v>44564.597</v>
      </c>
      <c r="H26" s="24">
        <f t="shared" si="5"/>
        <v>-573</v>
      </c>
      <c r="I26" s="33" t="s">
        <v>166</v>
      </c>
      <c r="J26" s="34" t="s">
        <v>167</v>
      </c>
      <c r="K26" s="33">
        <v>-573</v>
      </c>
      <c r="L26" s="33" t="s">
        <v>168</v>
      </c>
      <c r="M26" s="34" t="s">
        <v>113</v>
      </c>
      <c r="N26" s="34"/>
      <c r="O26" s="35" t="s">
        <v>141</v>
      </c>
      <c r="P26" s="35" t="s">
        <v>169</v>
      </c>
    </row>
    <row r="27" spans="1:16" ht="12.75" customHeight="1" thickBot="1" x14ac:dyDescent="0.25">
      <c r="A27" s="24" t="str">
        <f t="shared" si="0"/>
        <v> BBS 51 </v>
      </c>
      <c r="B27" s="2" t="str">
        <f t="shared" si="1"/>
        <v>I</v>
      </c>
      <c r="C27" s="24">
        <f t="shared" si="2"/>
        <v>44566.525999999998</v>
      </c>
      <c r="D27" s="23" t="str">
        <f t="shared" si="3"/>
        <v>vis</v>
      </c>
      <c r="E27" s="32">
        <f>VLOOKUP(C27,Active!C$21:E$973,3,FALSE)</f>
        <v>-571.99969807895252</v>
      </c>
      <c r="F27" s="2" t="s">
        <v>95</v>
      </c>
      <c r="G27" s="23" t="str">
        <f t="shared" si="4"/>
        <v>44566.526</v>
      </c>
      <c r="H27" s="24">
        <f t="shared" si="5"/>
        <v>-572</v>
      </c>
      <c r="I27" s="33" t="s">
        <v>170</v>
      </c>
      <c r="J27" s="34" t="s">
        <v>171</v>
      </c>
      <c r="K27" s="33">
        <v>-572</v>
      </c>
      <c r="L27" s="33" t="s">
        <v>172</v>
      </c>
      <c r="M27" s="34" t="s">
        <v>113</v>
      </c>
      <c r="N27" s="34"/>
      <c r="O27" s="35" t="s">
        <v>141</v>
      </c>
      <c r="P27" s="35" t="s">
        <v>169</v>
      </c>
    </row>
    <row r="28" spans="1:16" ht="12.75" customHeight="1" thickBot="1" x14ac:dyDescent="0.25">
      <c r="A28" s="24" t="str">
        <f t="shared" si="0"/>
        <v> BBS 52 </v>
      </c>
      <c r="B28" s="2" t="str">
        <f t="shared" si="1"/>
        <v>I</v>
      </c>
      <c r="C28" s="24">
        <f t="shared" si="2"/>
        <v>44603.538999999997</v>
      </c>
      <c r="D28" s="23" t="str">
        <f t="shared" si="3"/>
        <v>vis</v>
      </c>
      <c r="E28" s="32">
        <f>VLOOKUP(C28,Active!C$21:E$973,3,FALSE)</f>
        <v>-552.99458955425325</v>
      </c>
      <c r="F28" s="2" t="s">
        <v>95</v>
      </c>
      <c r="G28" s="23" t="str">
        <f t="shared" si="4"/>
        <v>44603.539</v>
      </c>
      <c r="H28" s="24">
        <f t="shared" si="5"/>
        <v>-553</v>
      </c>
      <c r="I28" s="33" t="s">
        <v>173</v>
      </c>
      <c r="J28" s="34" t="s">
        <v>174</v>
      </c>
      <c r="K28" s="33">
        <v>-553</v>
      </c>
      <c r="L28" s="33" t="s">
        <v>175</v>
      </c>
      <c r="M28" s="34" t="s">
        <v>113</v>
      </c>
      <c r="N28" s="34"/>
      <c r="O28" s="35" t="s">
        <v>176</v>
      </c>
      <c r="P28" s="35" t="s">
        <v>177</v>
      </c>
    </row>
    <row r="29" spans="1:16" ht="12.75" customHeight="1" thickBot="1" x14ac:dyDescent="0.25">
      <c r="A29" s="24" t="str">
        <f t="shared" si="0"/>
        <v> BBS 52 </v>
      </c>
      <c r="B29" s="2" t="str">
        <f t="shared" si="1"/>
        <v>I</v>
      </c>
      <c r="C29" s="24">
        <f t="shared" si="2"/>
        <v>44607.423999999999</v>
      </c>
      <c r="D29" s="23" t="str">
        <f t="shared" si="3"/>
        <v>vis</v>
      </c>
      <c r="E29" s="32">
        <f>VLOOKUP(C29,Active!C$21:E$973,3,FALSE)</f>
        <v>-550.99975404730992</v>
      </c>
      <c r="F29" s="2" t="s">
        <v>95</v>
      </c>
      <c r="G29" s="23" t="str">
        <f t="shared" si="4"/>
        <v>44607.424</v>
      </c>
      <c r="H29" s="24">
        <f t="shared" si="5"/>
        <v>-551</v>
      </c>
      <c r="I29" s="33" t="s">
        <v>178</v>
      </c>
      <c r="J29" s="34" t="s">
        <v>179</v>
      </c>
      <c r="K29" s="33">
        <v>-551</v>
      </c>
      <c r="L29" s="33" t="s">
        <v>180</v>
      </c>
      <c r="M29" s="34" t="s">
        <v>113</v>
      </c>
      <c r="N29" s="34"/>
      <c r="O29" s="35" t="s">
        <v>176</v>
      </c>
      <c r="P29" s="35" t="s">
        <v>177</v>
      </c>
    </row>
    <row r="30" spans="1:16" ht="12.75" customHeight="1" thickBot="1" x14ac:dyDescent="0.25">
      <c r="A30" s="24" t="str">
        <f t="shared" si="0"/>
        <v> BBS 52 </v>
      </c>
      <c r="B30" s="2" t="str">
        <f t="shared" si="1"/>
        <v>I</v>
      </c>
      <c r="C30" s="24">
        <f t="shared" si="2"/>
        <v>44613.264000000003</v>
      </c>
      <c r="D30" s="23" t="str">
        <f t="shared" si="3"/>
        <v>vis</v>
      </c>
      <c r="E30" s="32">
        <f>VLOOKUP(C30,Active!C$21:E$973,3,FALSE)</f>
        <v>-548.00108239723238</v>
      </c>
      <c r="F30" s="2" t="s">
        <v>95</v>
      </c>
      <c r="G30" s="23" t="str">
        <f t="shared" si="4"/>
        <v>44613.264</v>
      </c>
      <c r="H30" s="24">
        <f t="shared" si="5"/>
        <v>-548</v>
      </c>
      <c r="I30" s="33" t="s">
        <v>181</v>
      </c>
      <c r="J30" s="34" t="s">
        <v>182</v>
      </c>
      <c r="K30" s="33">
        <v>-548</v>
      </c>
      <c r="L30" s="33" t="s">
        <v>183</v>
      </c>
      <c r="M30" s="34" t="s">
        <v>113</v>
      </c>
      <c r="N30" s="34"/>
      <c r="O30" s="35" t="s">
        <v>136</v>
      </c>
      <c r="P30" s="35" t="s">
        <v>177</v>
      </c>
    </row>
    <row r="31" spans="1:16" ht="12.75" customHeight="1" thickBot="1" x14ac:dyDescent="0.25">
      <c r="A31" s="24" t="str">
        <f t="shared" si="0"/>
        <v> BBS 53 </v>
      </c>
      <c r="B31" s="2" t="str">
        <f t="shared" si="1"/>
        <v>I</v>
      </c>
      <c r="C31" s="24">
        <f t="shared" si="2"/>
        <v>44642.474999999999</v>
      </c>
      <c r="D31" s="23" t="str">
        <f t="shared" si="3"/>
        <v>vis</v>
      </c>
      <c r="E31" s="32">
        <f>VLOOKUP(C31,Active!C$21:E$973,3,FALSE)</f>
        <v>-533.00207596395421</v>
      </c>
      <c r="F31" s="2" t="s">
        <v>95</v>
      </c>
      <c r="G31" s="23" t="str">
        <f t="shared" si="4"/>
        <v>44642.475</v>
      </c>
      <c r="H31" s="24">
        <f t="shared" si="5"/>
        <v>-533</v>
      </c>
      <c r="I31" s="33" t="s">
        <v>184</v>
      </c>
      <c r="J31" s="34" t="s">
        <v>185</v>
      </c>
      <c r="K31" s="33">
        <v>-533</v>
      </c>
      <c r="L31" s="33" t="s">
        <v>186</v>
      </c>
      <c r="M31" s="34" t="s">
        <v>113</v>
      </c>
      <c r="N31" s="34"/>
      <c r="O31" s="35" t="s">
        <v>176</v>
      </c>
      <c r="P31" s="35" t="s">
        <v>187</v>
      </c>
    </row>
    <row r="32" spans="1:16" ht="12.75" customHeight="1" thickBot="1" x14ac:dyDescent="0.25">
      <c r="A32" s="24" t="str">
        <f t="shared" si="0"/>
        <v> BBS 53 </v>
      </c>
      <c r="B32" s="2" t="str">
        <f t="shared" si="1"/>
        <v>I</v>
      </c>
      <c r="C32" s="24">
        <f t="shared" si="2"/>
        <v>44644.421999999999</v>
      </c>
      <c r="D32" s="23" t="str">
        <f t="shared" si="3"/>
        <v>vis</v>
      </c>
      <c r="E32" s="32">
        <f>VLOOKUP(C32,Active!C$21:E$973,3,FALSE)</f>
        <v>-532.00234759020464</v>
      </c>
      <c r="F32" s="2" t="s">
        <v>95</v>
      </c>
      <c r="G32" s="23" t="str">
        <f t="shared" si="4"/>
        <v>44644.422</v>
      </c>
      <c r="H32" s="24">
        <f t="shared" si="5"/>
        <v>-532</v>
      </c>
      <c r="I32" s="33" t="s">
        <v>188</v>
      </c>
      <c r="J32" s="34" t="s">
        <v>189</v>
      </c>
      <c r="K32" s="33">
        <v>-532</v>
      </c>
      <c r="L32" s="33" t="s">
        <v>190</v>
      </c>
      <c r="M32" s="34" t="s">
        <v>113</v>
      </c>
      <c r="N32" s="34"/>
      <c r="O32" s="35" t="s">
        <v>176</v>
      </c>
      <c r="P32" s="35" t="s">
        <v>187</v>
      </c>
    </row>
    <row r="33" spans="1:16" ht="12.75" customHeight="1" thickBot="1" x14ac:dyDescent="0.25">
      <c r="A33" s="24" t="str">
        <f t="shared" si="0"/>
        <v> BBS 53 </v>
      </c>
      <c r="B33" s="2" t="str">
        <f t="shared" si="1"/>
        <v>I</v>
      </c>
      <c r="C33" s="24">
        <f t="shared" si="2"/>
        <v>44646.375</v>
      </c>
      <c r="D33" s="23" t="str">
        <f t="shared" si="3"/>
        <v>vis</v>
      </c>
      <c r="E33" s="32">
        <f>VLOOKUP(C33,Active!C$21:E$973,3,FALSE)</f>
        <v>-530.99953838941678</v>
      </c>
      <c r="F33" s="2" t="s">
        <v>95</v>
      </c>
      <c r="G33" s="23" t="str">
        <f t="shared" si="4"/>
        <v>44646.375</v>
      </c>
      <c r="H33" s="24">
        <f t="shared" si="5"/>
        <v>-531</v>
      </c>
      <c r="I33" s="33" t="s">
        <v>191</v>
      </c>
      <c r="J33" s="34" t="s">
        <v>192</v>
      </c>
      <c r="K33" s="33">
        <v>-531</v>
      </c>
      <c r="L33" s="33" t="s">
        <v>172</v>
      </c>
      <c r="M33" s="34" t="s">
        <v>113</v>
      </c>
      <c r="N33" s="34"/>
      <c r="O33" s="35" t="s">
        <v>176</v>
      </c>
      <c r="P33" s="35" t="s">
        <v>187</v>
      </c>
    </row>
    <row r="34" spans="1:16" ht="12.75" customHeight="1" thickBot="1" x14ac:dyDescent="0.25">
      <c r="A34" s="24" t="str">
        <f t="shared" si="0"/>
        <v> BBS 59 </v>
      </c>
      <c r="B34" s="2" t="str">
        <f t="shared" si="1"/>
        <v>I</v>
      </c>
      <c r="C34" s="24">
        <f t="shared" si="2"/>
        <v>45055.347000000002</v>
      </c>
      <c r="D34" s="23" t="str">
        <f t="shared" si="3"/>
        <v>vis</v>
      </c>
      <c r="E34" s="32">
        <f>VLOOKUP(C34,Active!C$21:E$973,3,FALSE)</f>
        <v>-321.00420584237816</v>
      </c>
      <c r="F34" s="2" t="s">
        <v>95</v>
      </c>
      <c r="G34" s="23" t="str">
        <f t="shared" si="4"/>
        <v>45055.347</v>
      </c>
      <c r="H34" s="24">
        <f t="shared" si="5"/>
        <v>-321</v>
      </c>
      <c r="I34" s="33" t="s">
        <v>193</v>
      </c>
      <c r="J34" s="34" t="s">
        <v>194</v>
      </c>
      <c r="K34" s="33">
        <v>-321</v>
      </c>
      <c r="L34" s="33" t="s">
        <v>195</v>
      </c>
      <c r="M34" s="34" t="s">
        <v>113</v>
      </c>
      <c r="N34" s="34"/>
      <c r="O34" s="35" t="s">
        <v>141</v>
      </c>
      <c r="P34" s="35" t="s">
        <v>196</v>
      </c>
    </row>
    <row r="35" spans="1:16" ht="12.75" customHeight="1" thickBot="1" x14ac:dyDescent="0.25">
      <c r="A35" s="24" t="str">
        <f t="shared" si="0"/>
        <v> BBS 63 </v>
      </c>
      <c r="B35" s="2" t="str">
        <f t="shared" si="1"/>
        <v>I</v>
      </c>
      <c r="C35" s="24">
        <f t="shared" si="2"/>
        <v>45273.5</v>
      </c>
      <c r="D35" s="23" t="str">
        <f t="shared" si="3"/>
        <v>vis</v>
      </c>
      <c r="E35" s="32">
        <f>VLOOKUP(C35,Active!C$21:E$973,3,FALSE)</f>
        <v>-208.98892904804109</v>
      </c>
      <c r="F35" s="2" t="s">
        <v>95</v>
      </c>
      <c r="G35" s="23" t="str">
        <f t="shared" si="4"/>
        <v>45273.500</v>
      </c>
      <c r="H35" s="24">
        <f t="shared" si="5"/>
        <v>-209</v>
      </c>
      <c r="I35" s="33" t="s">
        <v>197</v>
      </c>
      <c r="J35" s="34" t="s">
        <v>198</v>
      </c>
      <c r="K35" s="33">
        <v>-209</v>
      </c>
      <c r="L35" s="33" t="s">
        <v>199</v>
      </c>
      <c r="M35" s="34" t="s">
        <v>113</v>
      </c>
      <c r="N35" s="34"/>
      <c r="O35" s="35" t="s">
        <v>141</v>
      </c>
      <c r="P35" s="35" t="s">
        <v>200</v>
      </c>
    </row>
    <row r="36" spans="1:16" ht="12.75" customHeight="1" thickBot="1" x14ac:dyDescent="0.25">
      <c r="A36" s="24" t="str">
        <f t="shared" si="0"/>
        <v> BBS 68 </v>
      </c>
      <c r="B36" s="2" t="str">
        <f t="shared" si="1"/>
        <v>I</v>
      </c>
      <c r="C36" s="24">
        <f t="shared" si="2"/>
        <v>45600.652000000002</v>
      </c>
      <c r="D36" s="23" t="str">
        <f t="shared" si="3"/>
        <v>vis</v>
      </c>
      <c r="E36" s="32">
        <f>VLOOKUP(C36,Active!C$21:E$973,3,FALSE)</f>
        <v>-41.005807872437629</v>
      </c>
      <c r="F36" s="2" t="s">
        <v>95</v>
      </c>
      <c r="G36" s="23" t="str">
        <f t="shared" si="4"/>
        <v>45600.652</v>
      </c>
      <c r="H36" s="24">
        <f t="shared" si="5"/>
        <v>-41</v>
      </c>
      <c r="I36" s="33" t="s">
        <v>201</v>
      </c>
      <c r="J36" s="34" t="s">
        <v>202</v>
      </c>
      <c r="K36" s="33">
        <v>-41</v>
      </c>
      <c r="L36" s="33" t="s">
        <v>203</v>
      </c>
      <c r="M36" s="34" t="s">
        <v>113</v>
      </c>
      <c r="N36" s="34"/>
      <c r="O36" s="35" t="s">
        <v>141</v>
      </c>
      <c r="P36" s="35" t="s">
        <v>204</v>
      </c>
    </row>
    <row r="37" spans="1:16" ht="12.75" customHeight="1" thickBot="1" x14ac:dyDescent="0.25">
      <c r="A37" s="24" t="str">
        <f t="shared" si="0"/>
        <v> BBS 70 </v>
      </c>
      <c r="B37" s="2" t="str">
        <f t="shared" si="1"/>
        <v>I</v>
      </c>
      <c r="C37" s="24">
        <f t="shared" si="2"/>
        <v>45680.512000000002</v>
      </c>
      <c r="D37" s="23" t="str">
        <f t="shared" si="3"/>
        <v>vis</v>
      </c>
      <c r="E37" s="32">
        <f>VLOOKUP(C37,Active!C$21:E$973,3,FALSE)</f>
        <v>0</v>
      </c>
      <c r="F37" s="2" t="s">
        <v>95</v>
      </c>
      <c r="G37" s="23" t="str">
        <f t="shared" si="4"/>
        <v>45680.512</v>
      </c>
      <c r="H37" s="24">
        <f t="shared" si="5"/>
        <v>0</v>
      </c>
      <c r="I37" s="33" t="s">
        <v>205</v>
      </c>
      <c r="J37" s="34" t="s">
        <v>206</v>
      </c>
      <c r="K37" s="33">
        <v>0</v>
      </c>
      <c r="L37" s="33" t="s">
        <v>180</v>
      </c>
      <c r="M37" s="34" t="s">
        <v>113</v>
      </c>
      <c r="N37" s="34"/>
      <c r="O37" s="35" t="s">
        <v>141</v>
      </c>
      <c r="P37" s="35" t="s">
        <v>207</v>
      </c>
    </row>
    <row r="38" spans="1:16" ht="12.75" customHeight="1" thickBot="1" x14ac:dyDescent="0.25">
      <c r="A38" s="24" t="str">
        <f t="shared" si="0"/>
        <v> BBS 71 </v>
      </c>
      <c r="B38" s="2" t="str">
        <f t="shared" si="1"/>
        <v>I</v>
      </c>
      <c r="C38" s="24">
        <f t="shared" si="2"/>
        <v>45723.321000000004</v>
      </c>
      <c r="D38" s="23" t="str">
        <f t="shared" si="3"/>
        <v>vis</v>
      </c>
      <c r="E38" s="32">
        <f>VLOOKUP(C38,Active!C$21:E$973,3,FALSE)</f>
        <v>21.981187443165727</v>
      </c>
      <c r="F38" s="2" t="s">
        <v>95</v>
      </c>
      <c r="G38" s="23" t="str">
        <f t="shared" si="4"/>
        <v>45723.321</v>
      </c>
      <c r="H38" s="24">
        <f t="shared" si="5"/>
        <v>22</v>
      </c>
      <c r="I38" s="33" t="s">
        <v>208</v>
      </c>
      <c r="J38" s="34" t="s">
        <v>209</v>
      </c>
      <c r="K38" s="33">
        <v>22</v>
      </c>
      <c r="L38" s="33" t="s">
        <v>210</v>
      </c>
      <c r="M38" s="34" t="s">
        <v>113</v>
      </c>
      <c r="N38" s="34"/>
      <c r="O38" s="35" t="s">
        <v>211</v>
      </c>
      <c r="P38" s="35" t="s">
        <v>212</v>
      </c>
    </row>
    <row r="39" spans="1:16" ht="12.75" customHeight="1" thickBot="1" x14ac:dyDescent="0.25">
      <c r="A39" s="24" t="str">
        <f t="shared" si="0"/>
        <v> BBS 81 </v>
      </c>
      <c r="B39" s="2" t="str">
        <f t="shared" si="1"/>
        <v>I</v>
      </c>
      <c r="C39" s="24">
        <f t="shared" si="2"/>
        <v>46679.591</v>
      </c>
      <c r="D39" s="23" t="str">
        <f t="shared" si="3"/>
        <v>vis</v>
      </c>
      <c r="E39" s="32">
        <f>VLOOKUP(C39,Active!C$21:E$973,3,FALSE)</f>
        <v>512.99826600784786</v>
      </c>
      <c r="F39" s="2" t="s">
        <v>95</v>
      </c>
      <c r="G39" s="23" t="str">
        <f t="shared" si="4"/>
        <v>46679.591</v>
      </c>
      <c r="H39" s="24">
        <f t="shared" si="5"/>
        <v>513</v>
      </c>
      <c r="I39" s="33" t="s">
        <v>213</v>
      </c>
      <c r="J39" s="34" t="s">
        <v>214</v>
      </c>
      <c r="K39" s="33">
        <v>513</v>
      </c>
      <c r="L39" s="33" t="s">
        <v>97</v>
      </c>
      <c r="M39" s="34" t="s">
        <v>113</v>
      </c>
      <c r="N39" s="34"/>
      <c r="O39" s="35" t="s">
        <v>141</v>
      </c>
      <c r="P39" s="35" t="s">
        <v>215</v>
      </c>
    </row>
    <row r="40" spans="1:16" ht="12.75" customHeight="1" thickBot="1" x14ac:dyDescent="0.25">
      <c r="A40" s="24" t="str">
        <f t="shared" si="0"/>
        <v> BBS 83 </v>
      </c>
      <c r="B40" s="2" t="str">
        <f t="shared" si="1"/>
        <v>I</v>
      </c>
      <c r="C40" s="24">
        <f t="shared" si="2"/>
        <v>46876.281999999999</v>
      </c>
      <c r="D40" s="23" t="str">
        <f t="shared" si="3"/>
        <v>vis</v>
      </c>
      <c r="E40" s="32">
        <f>VLOOKUP(C40,Active!C$21:E$973,3,FALSE)</f>
        <v>613.99342448815742</v>
      </c>
      <c r="F40" s="2" t="s">
        <v>95</v>
      </c>
      <c r="G40" s="23" t="str">
        <f t="shared" si="4"/>
        <v>46876.282</v>
      </c>
      <c r="H40" s="24">
        <f t="shared" si="5"/>
        <v>614</v>
      </c>
      <c r="I40" s="33" t="s">
        <v>216</v>
      </c>
      <c r="J40" s="34" t="s">
        <v>217</v>
      </c>
      <c r="K40" s="33">
        <v>614</v>
      </c>
      <c r="L40" s="33" t="s">
        <v>218</v>
      </c>
      <c r="M40" s="34" t="s">
        <v>113</v>
      </c>
      <c r="N40" s="34"/>
      <c r="O40" s="35" t="s">
        <v>141</v>
      </c>
      <c r="P40" s="35" t="s">
        <v>219</v>
      </c>
    </row>
    <row r="41" spans="1:16" ht="12.75" customHeight="1" thickBot="1" x14ac:dyDescent="0.25">
      <c r="A41" s="24" t="str">
        <f t="shared" si="0"/>
        <v> BBS 86 </v>
      </c>
      <c r="B41" s="2" t="str">
        <f t="shared" si="1"/>
        <v>I</v>
      </c>
      <c r="C41" s="24">
        <f t="shared" si="2"/>
        <v>47123.644</v>
      </c>
      <c r="D41" s="23" t="str">
        <f t="shared" si="3"/>
        <v>vis</v>
      </c>
      <c r="E41" s="32">
        <f>VLOOKUP(C41,Active!C$21:E$973,3,FALSE)</f>
        <v>741.00668077343016</v>
      </c>
      <c r="F41" s="2" t="s">
        <v>95</v>
      </c>
      <c r="G41" s="23" t="str">
        <f t="shared" si="4"/>
        <v>47123.644</v>
      </c>
      <c r="H41" s="24">
        <f t="shared" si="5"/>
        <v>741</v>
      </c>
      <c r="I41" s="33" t="s">
        <v>220</v>
      </c>
      <c r="J41" s="34" t="s">
        <v>221</v>
      </c>
      <c r="K41" s="33">
        <v>741</v>
      </c>
      <c r="L41" s="33" t="s">
        <v>222</v>
      </c>
      <c r="M41" s="34" t="s">
        <v>113</v>
      </c>
      <c r="N41" s="34"/>
      <c r="O41" s="35" t="s">
        <v>141</v>
      </c>
      <c r="P41" s="35" t="s">
        <v>223</v>
      </c>
    </row>
    <row r="42" spans="1:16" ht="12.75" customHeight="1" thickBot="1" x14ac:dyDescent="0.25">
      <c r="A42" s="24" t="str">
        <f t="shared" si="0"/>
        <v> BBS 87 </v>
      </c>
      <c r="B42" s="2" t="str">
        <f t="shared" si="1"/>
        <v>I</v>
      </c>
      <c r="C42" s="24">
        <f t="shared" si="2"/>
        <v>47205.415999999997</v>
      </c>
      <c r="D42" s="23" t="str">
        <f t="shared" si="3"/>
        <v>vis</v>
      </c>
      <c r="E42" s="32">
        <f>VLOOKUP(C42,Active!C$21:E$973,3,FALSE)</f>
        <v>782.99424552856203</v>
      </c>
      <c r="F42" s="2" t="s">
        <v>95</v>
      </c>
      <c r="G42" s="23" t="str">
        <f t="shared" si="4"/>
        <v>47205.416</v>
      </c>
      <c r="H42" s="24">
        <f t="shared" si="5"/>
        <v>783</v>
      </c>
      <c r="I42" s="33" t="s">
        <v>224</v>
      </c>
      <c r="J42" s="34" t="s">
        <v>225</v>
      </c>
      <c r="K42" s="33">
        <v>783</v>
      </c>
      <c r="L42" s="33" t="s">
        <v>203</v>
      </c>
      <c r="M42" s="34" t="s">
        <v>113</v>
      </c>
      <c r="N42" s="34"/>
      <c r="O42" s="35" t="s">
        <v>176</v>
      </c>
      <c r="P42" s="35" t="s">
        <v>226</v>
      </c>
    </row>
    <row r="43" spans="1:16" ht="12.75" customHeight="1" thickBot="1" x14ac:dyDescent="0.25">
      <c r="A43" s="24" t="str">
        <f t="shared" ref="A43:A79" si="6">P43</f>
        <v> BBS 87 </v>
      </c>
      <c r="B43" s="2" t="str">
        <f t="shared" ref="B43:B79" si="7">IF(H43=INT(H43),"I","II")</f>
        <v>I</v>
      </c>
      <c r="C43" s="24">
        <f t="shared" ref="C43:C79" si="8">1*G43</f>
        <v>47205.430999999997</v>
      </c>
      <c r="D43" s="23" t="str">
        <f t="shared" ref="D43:D79" si="9">VLOOKUP(F43,I$1:J$5,2,FALSE)</f>
        <v>vis</v>
      </c>
      <c r="E43" s="32">
        <f>VLOOKUP(C43,Active!C$21:E$973,3,FALSE)</f>
        <v>783.00194759615613</v>
      </c>
      <c r="F43" s="2" t="s">
        <v>95</v>
      </c>
      <c r="G43" s="23" t="str">
        <f t="shared" ref="G43:G79" si="10">MID(I43,3,LEN(I43)-3)</f>
        <v>47205.431</v>
      </c>
      <c r="H43" s="24">
        <f t="shared" ref="H43:H79" si="11">1*K43</f>
        <v>783</v>
      </c>
      <c r="I43" s="33" t="s">
        <v>227</v>
      </c>
      <c r="J43" s="34" t="s">
        <v>228</v>
      </c>
      <c r="K43" s="33">
        <v>783</v>
      </c>
      <c r="L43" s="33" t="s">
        <v>229</v>
      </c>
      <c r="M43" s="34" t="s">
        <v>113</v>
      </c>
      <c r="N43" s="34"/>
      <c r="O43" s="35" t="s">
        <v>141</v>
      </c>
      <c r="P43" s="35" t="s">
        <v>226</v>
      </c>
    </row>
    <row r="44" spans="1:16" ht="12.75" customHeight="1" thickBot="1" x14ac:dyDescent="0.25">
      <c r="A44" s="24" t="str">
        <f t="shared" si="6"/>
        <v> BRNO 30 </v>
      </c>
      <c r="B44" s="2" t="str">
        <f t="shared" si="7"/>
        <v>I</v>
      </c>
      <c r="C44" s="24">
        <f t="shared" si="8"/>
        <v>47207.362999999998</v>
      </c>
      <c r="D44" s="23" t="str">
        <f t="shared" si="9"/>
        <v>vis</v>
      </c>
      <c r="E44" s="32">
        <f>VLOOKUP(C44,Active!C$21:E$973,3,FALSE)</f>
        <v>783.99397390231161</v>
      </c>
      <c r="F44" s="2" t="s">
        <v>95</v>
      </c>
      <c r="G44" s="23" t="str">
        <f t="shared" si="10"/>
        <v>47207.363</v>
      </c>
      <c r="H44" s="24">
        <f t="shared" si="11"/>
        <v>784</v>
      </c>
      <c r="I44" s="33" t="s">
        <v>230</v>
      </c>
      <c r="J44" s="34" t="s">
        <v>231</v>
      </c>
      <c r="K44" s="33">
        <v>784</v>
      </c>
      <c r="L44" s="33" t="s">
        <v>232</v>
      </c>
      <c r="M44" s="34" t="s">
        <v>113</v>
      </c>
      <c r="N44" s="34"/>
      <c r="O44" s="35" t="s">
        <v>233</v>
      </c>
      <c r="P44" s="35" t="s">
        <v>234</v>
      </c>
    </row>
    <row r="45" spans="1:16" ht="12.75" customHeight="1" thickBot="1" x14ac:dyDescent="0.25">
      <c r="A45" s="24" t="str">
        <f t="shared" si="6"/>
        <v> BBS 87 </v>
      </c>
      <c r="B45" s="2" t="str">
        <f t="shared" si="7"/>
        <v>I</v>
      </c>
      <c r="C45" s="24">
        <f t="shared" si="8"/>
        <v>47207.368000000002</v>
      </c>
      <c r="D45" s="23" t="str">
        <f t="shared" si="9"/>
        <v>vis</v>
      </c>
      <c r="E45" s="32">
        <f>VLOOKUP(C45,Active!C$21:E$973,3,FALSE)</f>
        <v>783.99654125817881</v>
      </c>
      <c r="F45" s="2" t="s">
        <v>95</v>
      </c>
      <c r="G45" s="23" t="str">
        <f t="shared" si="10"/>
        <v>47207.368</v>
      </c>
      <c r="H45" s="24">
        <f t="shared" si="11"/>
        <v>784</v>
      </c>
      <c r="I45" s="33" t="s">
        <v>235</v>
      </c>
      <c r="J45" s="34" t="s">
        <v>236</v>
      </c>
      <c r="K45" s="33">
        <v>784</v>
      </c>
      <c r="L45" s="33" t="s">
        <v>237</v>
      </c>
      <c r="M45" s="34" t="s">
        <v>113</v>
      </c>
      <c r="N45" s="34"/>
      <c r="O45" s="35" t="s">
        <v>176</v>
      </c>
      <c r="P45" s="35" t="s">
        <v>226</v>
      </c>
    </row>
    <row r="46" spans="1:16" ht="12.75" customHeight="1" thickBot="1" x14ac:dyDescent="0.25">
      <c r="A46" s="24" t="str">
        <f t="shared" si="6"/>
        <v> BRNO 30 </v>
      </c>
      <c r="B46" s="2" t="str">
        <f t="shared" si="7"/>
        <v>I</v>
      </c>
      <c r="C46" s="24">
        <f t="shared" si="8"/>
        <v>47207.38</v>
      </c>
      <c r="D46" s="23" t="str">
        <f t="shared" si="9"/>
        <v>vis</v>
      </c>
      <c r="E46" s="32">
        <f>VLOOKUP(C46,Active!C$21:E$973,3,FALSE)</f>
        <v>784.00270291225183</v>
      </c>
      <c r="F46" s="2" t="s">
        <v>95</v>
      </c>
      <c r="G46" s="23" t="str">
        <f t="shared" si="10"/>
        <v>47207.380</v>
      </c>
      <c r="H46" s="24">
        <f t="shared" si="11"/>
        <v>784</v>
      </c>
      <c r="I46" s="33" t="s">
        <v>238</v>
      </c>
      <c r="J46" s="34" t="s">
        <v>239</v>
      </c>
      <c r="K46" s="33">
        <v>784</v>
      </c>
      <c r="L46" s="33" t="s">
        <v>240</v>
      </c>
      <c r="M46" s="34" t="s">
        <v>113</v>
      </c>
      <c r="N46" s="34"/>
      <c r="O46" s="35" t="s">
        <v>241</v>
      </c>
      <c r="P46" s="35" t="s">
        <v>234</v>
      </c>
    </row>
    <row r="47" spans="1:16" ht="12.75" customHeight="1" thickBot="1" x14ac:dyDescent="0.25">
      <c r="A47" s="24" t="str">
        <f t="shared" si="6"/>
        <v> BBS 91 </v>
      </c>
      <c r="B47" s="2" t="str">
        <f t="shared" si="7"/>
        <v>I</v>
      </c>
      <c r="C47" s="24">
        <f t="shared" si="8"/>
        <v>47540.404000000002</v>
      </c>
      <c r="D47" s="23" t="str">
        <f t="shared" si="9"/>
        <v>vis</v>
      </c>
      <c r="E47" s="32">
        <f>VLOOKUP(C47,Active!C$21:E$973,3,FALSE)</f>
        <v>955.0009268154671</v>
      </c>
      <c r="F47" s="2" t="s">
        <v>95</v>
      </c>
      <c r="G47" s="23" t="str">
        <f t="shared" si="10"/>
        <v>47540.404</v>
      </c>
      <c r="H47" s="24">
        <f t="shared" si="11"/>
        <v>955</v>
      </c>
      <c r="I47" s="33" t="s">
        <v>242</v>
      </c>
      <c r="J47" s="34" t="s">
        <v>243</v>
      </c>
      <c r="K47" s="33">
        <v>955</v>
      </c>
      <c r="L47" s="33" t="s">
        <v>145</v>
      </c>
      <c r="M47" s="34" t="s">
        <v>113</v>
      </c>
      <c r="N47" s="34"/>
      <c r="O47" s="35" t="s">
        <v>141</v>
      </c>
      <c r="P47" s="35" t="s">
        <v>244</v>
      </c>
    </row>
    <row r="48" spans="1:16" ht="12.75" customHeight="1" thickBot="1" x14ac:dyDescent="0.25">
      <c r="A48" s="24" t="str">
        <f t="shared" si="6"/>
        <v> BRNO 30 </v>
      </c>
      <c r="B48" s="2" t="str">
        <f t="shared" si="7"/>
        <v>I</v>
      </c>
      <c r="C48" s="24">
        <f t="shared" si="8"/>
        <v>47542.345000000001</v>
      </c>
      <c r="D48" s="23" t="str">
        <f t="shared" si="9"/>
        <v>vis</v>
      </c>
      <c r="E48" s="32">
        <f>VLOOKUP(C48,Active!C$21:E$973,3,FALSE)</f>
        <v>955.99757436217828</v>
      </c>
      <c r="F48" s="2" t="s">
        <v>95</v>
      </c>
      <c r="G48" s="23" t="str">
        <f t="shared" si="10"/>
        <v>47542.345</v>
      </c>
      <c r="H48" s="24">
        <f t="shared" si="11"/>
        <v>956</v>
      </c>
      <c r="I48" s="33" t="s">
        <v>245</v>
      </c>
      <c r="J48" s="34" t="s">
        <v>246</v>
      </c>
      <c r="K48" s="33">
        <v>956</v>
      </c>
      <c r="L48" s="33" t="s">
        <v>190</v>
      </c>
      <c r="M48" s="34" t="s">
        <v>113</v>
      </c>
      <c r="N48" s="34"/>
      <c r="O48" s="35" t="s">
        <v>247</v>
      </c>
      <c r="P48" s="35" t="s">
        <v>234</v>
      </c>
    </row>
    <row r="49" spans="1:16" ht="12.75" customHeight="1" thickBot="1" x14ac:dyDescent="0.25">
      <c r="A49" s="24" t="str">
        <f t="shared" si="6"/>
        <v> BBS 94 </v>
      </c>
      <c r="B49" s="2" t="str">
        <f t="shared" si="7"/>
        <v>I</v>
      </c>
      <c r="C49" s="24">
        <f t="shared" si="8"/>
        <v>47908.464999999997</v>
      </c>
      <c r="D49" s="23" t="str">
        <f t="shared" si="9"/>
        <v>vis</v>
      </c>
      <c r="E49" s="32">
        <f>VLOOKUP(C49,Active!C$21:E$973,3,FALSE)</f>
        <v>1143.9896402056113</v>
      </c>
      <c r="F49" s="2" t="s">
        <v>95</v>
      </c>
      <c r="G49" s="23" t="str">
        <f t="shared" si="10"/>
        <v>47908.465</v>
      </c>
      <c r="H49" s="24">
        <f t="shared" si="11"/>
        <v>1144</v>
      </c>
      <c r="I49" s="33" t="s">
        <v>248</v>
      </c>
      <c r="J49" s="34" t="s">
        <v>249</v>
      </c>
      <c r="K49" s="33">
        <v>1144</v>
      </c>
      <c r="L49" s="33" t="s">
        <v>250</v>
      </c>
      <c r="M49" s="34" t="s">
        <v>113</v>
      </c>
      <c r="N49" s="34"/>
      <c r="O49" s="35" t="s">
        <v>141</v>
      </c>
      <c r="P49" s="35" t="s">
        <v>251</v>
      </c>
    </row>
    <row r="50" spans="1:16" ht="12.75" customHeight="1" thickBot="1" x14ac:dyDescent="0.25">
      <c r="A50" s="24" t="str">
        <f t="shared" si="6"/>
        <v> BBS 94 </v>
      </c>
      <c r="B50" s="2" t="str">
        <f t="shared" si="7"/>
        <v>I</v>
      </c>
      <c r="C50" s="24">
        <f t="shared" si="8"/>
        <v>47912.38</v>
      </c>
      <c r="D50" s="23" t="str">
        <f t="shared" si="9"/>
        <v>vis</v>
      </c>
      <c r="E50" s="32">
        <f>VLOOKUP(C50,Active!C$21:E$973,3,FALSE)</f>
        <v>1145.9998798477429</v>
      </c>
      <c r="F50" s="2" t="s">
        <v>95</v>
      </c>
      <c r="G50" s="23" t="str">
        <f t="shared" si="10"/>
        <v>47912.380</v>
      </c>
      <c r="H50" s="24">
        <f t="shared" si="11"/>
        <v>1146</v>
      </c>
      <c r="I50" s="33" t="s">
        <v>252</v>
      </c>
      <c r="J50" s="34" t="s">
        <v>253</v>
      </c>
      <c r="K50" s="33">
        <v>1146</v>
      </c>
      <c r="L50" s="33" t="s">
        <v>140</v>
      </c>
      <c r="M50" s="34" t="s">
        <v>113</v>
      </c>
      <c r="N50" s="34"/>
      <c r="O50" s="35" t="s">
        <v>141</v>
      </c>
      <c r="P50" s="35" t="s">
        <v>251</v>
      </c>
    </row>
    <row r="51" spans="1:16" ht="12.75" customHeight="1" thickBot="1" x14ac:dyDescent="0.25">
      <c r="A51" s="24" t="str">
        <f t="shared" si="6"/>
        <v> BBS 94 </v>
      </c>
      <c r="B51" s="2" t="str">
        <f t="shared" si="7"/>
        <v>I</v>
      </c>
      <c r="C51" s="24">
        <f t="shared" si="8"/>
        <v>47914.322999999997</v>
      </c>
      <c r="D51" s="23" t="str">
        <f t="shared" si="9"/>
        <v>vis</v>
      </c>
      <c r="E51" s="32">
        <f>VLOOKUP(C51,Active!C$21:E$973,3,FALSE)</f>
        <v>1146.9975543368002</v>
      </c>
      <c r="F51" s="2" t="s">
        <v>95</v>
      </c>
      <c r="G51" s="23" t="str">
        <f t="shared" si="10"/>
        <v>47914.323</v>
      </c>
      <c r="H51" s="24">
        <f t="shared" si="11"/>
        <v>1147</v>
      </c>
      <c r="I51" s="33" t="s">
        <v>254</v>
      </c>
      <c r="J51" s="34" t="s">
        <v>255</v>
      </c>
      <c r="K51" s="33">
        <v>1147</v>
      </c>
      <c r="L51" s="33" t="s">
        <v>190</v>
      </c>
      <c r="M51" s="34" t="s">
        <v>113</v>
      </c>
      <c r="N51" s="34"/>
      <c r="O51" s="35" t="s">
        <v>141</v>
      </c>
      <c r="P51" s="35" t="s">
        <v>251</v>
      </c>
    </row>
    <row r="52" spans="1:16" ht="12.75" customHeight="1" thickBot="1" x14ac:dyDescent="0.25">
      <c r="A52" s="24" t="str">
        <f t="shared" si="6"/>
        <v> BBS 96 </v>
      </c>
      <c r="B52" s="2" t="str">
        <f t="shared" si="7"/>
        <v>I</v>
      </c>
      <c r="C52" s="24">
        <f t="shared" si="8"/>
        <v>48126.601000000002</v>
      </c>
      <c r="D52" s="23" t="str">
        <f t="shared" si="9"/>
        <v>vis</v>
      </c>
      <c r="E52" s="32">
        <f>VLOOKUP(C52,Active!C$21:E$973,3,FALSE)</f>
        <v>1255.9961879900118</v>
      </c>
      <c r="F52" s="2" t="s">
        <v>95</v>
      </c>
      <c r="G52" s="23" t="str">
        <f t="shared" si="10"/>
        <v>48126.601</v>
      </c>
      <c r="H52" s="24">
        <f t="shared" si="11"/>
        <v>1256</v>
      </c>
      <c r="I52" s="33" t="s">
        <v>256</v>
      </c>
      <c r="J52" s="34" t="s">
        <v>257</v>
      </c>
      <c r="K52" s="33">
        <v>1256</v>
      </c>
      <c r="L52" s="33" t="s">
        <v>237</v>
      </c>
      <c r="M52" s="34" t="s">
        <v>113</v>
      </c>
      <c r="N52" s="34"/>
      <c r="O52" s="35" t="s">
        <v>141</v>
      </c>
      <c r="P52" s="35" t="s">
        <v>258</v>
      </c>
    </row>
    <row r="53" spans="1:16" ht="12.75" customHeight="1" thickBot="1" x14ac:dyDescent="0.25">
      <c r="A53" s="24" t="str">
        <f t="shared" si="6"/>
        <v> BBS 99 </v>
      </c>
      <c r="B53" s="2" t="str">
        <f t="shared" si="7"/>
        <v>I</v>
      </c>
      <c r="C53" s="24">
        <f t="shared" si="8"/>
        <v>48533.646000000001</v>
      </c>
      <c r="D53" s="23" t="str">
        <f t="shared" si="9"/>
        <v>vis</v>
      </c>
      <c r="E53" s="32">
        <f>VLOOKUP(C53,Active!C$21:E$973,3,FALSE)</f>
        <v>1465.0020615867584</v>
      </c>
      <c r="F53" s="2" t="s">
        <v>95</v>
      </c>
      <c r="G53" s="23" t="str">
        <f t="shared" si="10"/>
        <v>48533.646</v>
      </c>
      <c r="H53" s="24">
        <f t="shared" si="11"/>
        <v>1465</v>
      </c>
      <c r="I53" s="33" t="s">
        <v>259</v>
      </c>
      <c r="J53" s="34" t="s">
        <v>260</v>
      </c>
      <c r="K53" s="33">
        <v>1465</v>
      </c>
      <c r="L53" s="33" t="s">
        <v>229</v>
      </c>
      <c r="M53" s="34" t="s">
        <v>113</v>
      </c>
      <c r="N53" s="34"/>
      <c r="O53" s="35" t="s">
        <v>141</v>
      </c>
      <c r="P53" s="35" t="s">
        <v>261</v>
      </c>
    </row>
    <row r="54" spans="1:16" ht="12.75" customHeight="1" thickBot="1" x14ac:dyDescent="0.25">
      <c r="A54" s="24" t="str">
        <f t="shared" si="6"/>
        <v>IBVS 4083 </v>
      </c>
      <c r="B54" s="2" t="str">
        <f t="shared" si="7"/>
        <v>I</v>
      </c>
      <c r="C54" s="24">
        <f t="shared" si="8"/>
        <v>48541.43</v>
      </c>
      <c r="D54" s="23" t="str">
        <f t="shared" si="9"/>
        <v>vis</v>
      </c>
      <c r="E54" s="32">
        <f>VLOOKUP(C54,Active!C$21:E$973,3,FALSE)</f>
        <v>1468.9989211970644</v>
      </c>
      <c r="F54" s="2" t="s">
        <v>95</v>
      </c>
      <c r="G54" s="23" t="str">
        <f t="shared" si="10"/>
        <v>48541.430</v>
      </c>
      <c r="H54" s="24">
        <f t="shared" si="11"/>
        <v>1469</v>
      </c>
      <c r="I54" s="33" t="s">
        <v>262</v>
      </c>
      <c r="J54" s="34" t="s">
        <v>263</v>
      </c>
      <c r="K54" s="33">
        <v>1469</v>
      </c>
      <c r="L54" s="33" t="s">
        <v>183</v>
      </c>
      <c r="M54" s="34" t="s">
        <v>264</v>
      </c>
      <c r="N54" s="34" t="s">
        <v>265</v>
      </c>
      <c r="O54" s="35" t="s">
        <v>266</v>
      </c>
      <c r="P54" s="36" t="s">
        <v>267</v>
      </c>
    </row>
    <row r="55" spans="1:16" ht="12.75" customHeight="1" thickBot="1" x14ac:dyDescent="0.25">
      <c r="A55" s="24" t="str">
        <f t="shared" si="6"/>
        <v> BBS 100 </v>
      </c>
      <c r="B55" s="2" t="str">
        <f t="shared" si="7"/>
        <v>I</v>
      </c>
      <c r="C55" s="24">
        <f t="shared" si="8"/>
        <v>48619.343999999997</v>
      </c>
      <c r="D55" s="23" t="str">
        <f t="shared" si="9"/>
        <v>vis</v>
      </c>
      <c r="E55" s="32">
        <f>VLOOKUP(C55,Active!C$21:E$973,3,FALSE)</f>
        <v>1509.0055141669236</v>
      </c>
      <c r="F55" s="2" t="s">
        <v>95</v>
      </c>
      <c r="G55" s="23" t="str">
        <f t="shared" si="10"/>
        <v>48619.344</v>
      </c>
      <c r="H55" s="24">
        <f t="shared" si="11"/>
        <v>1509</v>
      </c>
      <c r="I55" s="33" t="s">
        <v>268</v>
      </c>
      <c r="J55" s="34" t="s">
        <v>269</v>
      </c>
      <c r="K55" s="33">
        <v>1509</v>
      </c>
      <c r="L55" s="33" t="s">
        <v>175</v>
      </c>
      <c r="M55" s="34" t="s">
        <v>113</v>
      </c>
      <c r="N55" s="34"/>
      <c r="O55" s="35" t="s">
        <v>176</v>
      </c>
      <c r="P55" s="35" t="s">
        <v>270</v>
      </c>
    </row>
    <row r="56" spans="1:16" ht="12.75" customHeight="1" thickBot="1" x14ac:dyDescent="0.25">
      <c r="A56" s="24" t="str">
        <f t="shared" si="6"/>
        <v> BBS 102 </v>
      </c>
      <c r="B56" s="2" t="str">
        <f t="shared" si="7"/>
        <v>I</v>
      </c>
      <c r="C56" s="24">
        <f t="shared" si="8"/>
        <v>48872.523000000001</v>
      </c>
      <c r="D56" s="23" t="str">
        <f t="shared" si="9"/>
        <v>vis</v>
      </c>
      <c r="E56" s="32">
        <f>VLOOKUP(C56,Active!C$21:E$973,3,FALSE)</f>
        <v>1639.0056322652954</v>
      </c>
      <c r="F56" s="2" t="s">
        <v>95</v>
      </c>
      <c r="G56" s="23" t="str">
        <f t="shared" si="10"/>
        <v>48872.523</v>
      </c>
      <c r="H56" s="24">
        <f t="shared" si="11"/>
        <v>1639</v>
      </c>
      <c r="I56" s="33" t="s">
        <v>271</v>
      </c>
      <c r="J56" s="34" t="s">
        <v>272</v>
      </c>
      <c r="K56" s="33">
        <v>1639</v>
      </c>
      <c r="L56" s="33" t="s">
        <v>175</v>
      </c>
      <c r="M56" s="34" t="s">
        <v>113</v>
      </c>
      <c r="N56" s="34"/>
      <c r="O56" s="35" t="s">
        <v>141</v>
      </c>
      <c r="P56" s="35" t="s">
        <v>273</v>
      </c>
    </row>
    <row r="57" spans="1:16" ht="12.75" customHeight="1" thickBot="1" x14ac:dyDescent="0.25">
      <c r="A57" s="24" t="str">
        <f t="shared" si="6"/>
        <v>IBVS 4083 </v>
      </c>
      <c r="B57" s="2" t="str">
        <f t="shared" si="7"/>
        <v>I</v>
      </c>
      <c r="C57" s="24">
        <f t="shared" si="8"/>
        <v>48915.356</v>
      </c>
      <c r="D57" s="23" t="str">
        <f t="shared" si="9"/>
        <v>vis</v>
      </c>
      <c r="E57" s="32">
        <f>VLOOKUP(C57,Active!C$21:E$973,3,FALSE)</f>
        <v>1660.999143016611</v>
      </c>
      <c r="F57" s="2" t="s">
        <v>95</v>
      </c>
      <c r="G57" s="23" t="str">
        <f t="shared" si="10"/>
        <v>48915.356</v>
      </c>
      <c r="H57" s="24">
        <f t="shared" si="11"/>
        <v>1661</v>
      </c>
      <c r="I57" s="33" t="s">
        <v>274</v>
      </c>
      <c r="J57" s="34" t="s">
        <v>275</v>
      </c>
      <c r="K57" s="33">
        <v>1661</v>
      </c>
      <c r="L57" s="33" t="s">
        <v>183</v>
      </c>
      <c r="M57" s="34" t="s">
        <v>264</v>
      </c>
      <c r="N57" s="34" t="s">
        <v>265</v>
      </c>
      <c r="O57" s="35" t="s">
        <v>266</v>
      </c>
      <c r="P57" s="36" t="s">
        <v>267</v>
      </c>
    </row>
    <row r="58" spans="1:16" ht="12.75" customHeight="1" thickBot="1" x14ac:dyDescent="0.25">
      <c r="A58" s="24" t="str">
        <f t="shared" si="6"/>
        <v>IBVS 4083 </v>
      </c>
      <c r="B58" s="2" t="str">
        <f t="shared" si="7"/>
        <v>I</v>
      </c>
      <c r="C58" s="24">
        <f t="shared" si="8"/>
        <v>48917.303999999996</v>
      </c>
      <c r="D58" s="23" t="str">
        <f t="shared" si="9"/>
        <v>vis</v>
      </c>
      <c r="E58" s="32">
        <f>VLOOKUP(C58,Active!C$21:E$973,3,FALSE)</f>
        <v>1661.9993848615316</v>
      </c>
      <c r="F58" s="2" t="s">
        <v>95</v>
      </c>
      <c r="G58" s="23" t="str">
        <f t="shared" si="10"/>
        <v>48917.304</v>
      </c>
      <c r="H58" s="24">
        <f t="shared" si="11"/>
        <v>1662</v>
      </c>
      <c r="I58" s="33" t="s">
        <v>276</v>
      </c>
      <c r="J58" s="34" t="s">
        <v>277</v>
      </c>
      <c r="K58" s="33">
        <v>1662</v>
      </c>
      <c r="L58" s="33" t="s">
        <v>160</v>
      </c>
      <c r="M58" s="34" t="s">
        <v>264</v>
      </c>
      <c r="N58" s="34" t="s">
        <v>265</v>
      </c>
      <c r="O58" s="35" t="s">
        <v>266</v>
      </c>
      <c r="P58" s="36" t="s">
        <v>267</v>
      </c>
    </row>
    <row r="59" spans="1:16" ht="12.75" customHeight="1" thickBot="1" x14ac:dyDescent="0.25">
      <c r="A59" s="24" t="str">
        <f t="shared" si="6"/>
        <v> BBS 103 </v>
      </c>
      <c r="B59" s="2" t="str">
        <f t="shared" si="7"/>
        <v>I</v>
      </c>
      <c r="C59" s="24">
        <f t="shared" si="8"/>
        <v>49026.362999999998</v>
      </c>
      <c r="D59" s="23" t="str">
        <f t="shared" si="9"/>
        <v>vis</v>
      </c>
      <c r="E59" s="32">
        <f>VLOOKUP(C59,Active!C$21:E$973,3,FALSE)</f>
        <v>1717.9980375131745</v>
      </c>
      <c r="F59" s="2" t="s">
        <v>95</v>
      </c>
      <c r="G59" s="23" t="str">
        <f t="shared" si="10"/>
        <v>49026.363</v>
      </c>
      <c r="H59" s="24">
        <f t="shared" si="11"/>
        <v>1718</v>
      </c>
      <c r="I59" s="33" t="s">
        <v>278</v>
      </c>
      <c r="J59" s="34" t="s">
        <v>279</v>
      </c>
      <c r="K59" s="33">
        <v>1718</v>
      </c>
      <c r="L59" s="33" t="s">
        <v>186</v>
      </c>
      <c r="M59" s="34" t="s">
        <v>113</v>
      </c>
      <c r="N59" s="34"/>
      <c r="O59" s="35" t="s">
        <v>141</v>
      </c>
      <c r="P59" s="35" t="s">
        <v>280</v>
      </c>
    </row>
    <row r="60" spans="1:16" ht="12.75" customHeight="1" thickBot="1" x14ac:dyDescent="0.25">
      <c r="A60" s="24" t="str">
        <f t="shared" si="6"/>
        <v> BBS 103 </v>
      </c>
      <c r="B60" s="2" t="str">
        <f t="shared" si="7"/>
        <v>I</v>
      </c>
      <c r="C60" s="24">
        <f t="shared" si="8"/>
        <v>49065.326000000001</v>
      </c>
      <c r="D60" s="23" t="str">
        <f t="shared" si="9"/>
        <v>vis</v>
      </c>
      <c r="E60" s="32">
        <f>VLOOKUP(C60,Active!C$21:E$973,3,FALSE)</f>
        <v>1738.0044148251443</v>
      </c>
      <c r="F60" s="2" t="s">
        <v>95</v>
      </c>
      <c r="G60" s="23" t="str">
        <f t="shared" si="10"/>
        <v>49065.326</v>
      </c>
      <c r="H60" s="24">
        <f t="shared" si="11"/>
        <v>1738</v>
      </c>
      <c r="I60" s="33" t="s">
        <v>281</v>
      </c>
      <c r="J60" s="34" t="s">
        <v>282</v>
      </c>
      <c r="K60" s="33">
        <v>1738</v>
      </c>
      <c r="L60" s="33" t="s">
        <v>283</v>
      </c>
      <c r="M60" s="34" t="s">
        <v>113</v>
      </c>
      <c r="N60" s="34"/>
      <c r="O60" s="35" t="s">
        <v>176</v>
      </c>
      <c r="P60" s="35" t="s">
        <v>280</v>
      </c>
    </row>
    <row r="61" spans="1:16" ht="12.75" customHeight="1" thickBot="1" x14ac:dyDescent="0.25">
      <c r="A61" s="24" t="str">
        <f t="shared" si="6"/>
        <v> BBS 109 </v>
      </c>
      <c r="B61" s="2" t="str">
        <f t="shared" si="7"/>
        <v>I</v>
      </c>
      <c r="C61" s="24">
        <f t="shared" si="8"/>
        <v>49807.321000000004</v>
      </c>
      <c r="D61" s="23" t="str">
        <f t="shared" si="9"/>
        <v>vis</v>
      </c>
      <c r="E61" s="32">
        <f>VLOOKUP(C61,Active!C$21:E$973,3,FALSE)</f>
        <v>2118.9974578042234</v>
      </c>
      <c r="F61" s="2" t="s">
        <v>95</v>
      </c>
      <c r="G61" s="23" t="str">
        <f t="shared" si="10"/>
        <v>49807.321</v>
      </c>
      <c r="H61" s="24">
        <f t="shared" si="11"/>
        <v>2119</v>
      </c>
      <c r="I61" s="33" t="s">
        <v>284</v>
      </c>
      <c r="J61" s="34" t="s">
        <v>285</v>
      </c>
      <c r="K61" s="33">
        <v>2119</v>
      </c>
      <c r="L61" s="33" t="s">
        <v>190</v>
      </c>
      <c r="M61" s="34" t="s">
        <v>113</v>
      </c>
      <c r="N61" s="34"/>
      <c r="O61" s="35" t="s">
        <v>141</v>
      </c>
      <c r="P61" s="35" t="s">
        <v>286</v>
      </c>
    </row>
    <row r="62" spans="1:16" ht="12.75" customHeight="1" thickBot="1" x14ac:dyDescent="0.25">
      <c r="A62" s="24" t="str">
        <f t="shared" si="6"/>
        <v> BBS 116 </v>
      </c>
      <c r="B62" s="2" t="str">
        <f t="shared" si="7"/>
        <v>I</v>
      </c>
      <c r="C62" s="24">
        <f t="shared" si="8"/>
        <v>50722.673999999999</v>
      </c>
      <c r="D62" s="23" t="str">
        <f t="shared" si="9"/>
        <v>vis</v>
      </c>
      <c r="E62" s="32">
        <f>VLOOKUP(C62,Active!C$21:E$973,3,FALSE)</f>
        <v>2589.0048363849764</v>
      </c>
      <c r="F62" s="2" t="s">
        <v>95</v>
      </c>
      <c r="G62" s="23" t="str">
        <f t="shared" si="10"/>
        <v>50722.674</v>
      </c>
      <c r="H62" s="24">
        <f t="shared" si="11"/>
        <v>2589</v>
      </c>
      <c r="I62" s="33" t="s">
        <v>287</v>
      </c>
      <c r="J62" s="34" t="s">
        <v>288</v>
      </c>
      <c r="K62" s="33">
        <v>2589</v>
      </c>
      <c r="L62" s="33" t="s">
        <v>283</v>
      </c>
      <c r="M62" s="34" t="s">
        <v>113</v>
      </c>
      <c r="N62" s="34"/>
      <c r="O62" s="35" t="s">
        <v>141</v>
      </c>
      <c r="P62" s="35" t="s">
        <v>289</v>
      </c>
    </row>
    <row r="63" spans="1:16" ht="12.75" customHeight="1" thickBot="1" x14ac:dyDescent="0.25">
      <c r="A63" s="24" t="str">
        <f t="shared" si="6"/>
        <v> BBS 119 </v>
      </c>
      <c r="B63" s="2" t="str">
        <f t="shared" si="7"/>
        <v>I</v>
      </c>
      <c r="C63" s="24">
        <f t="shared" si="8"/>
        <v>51135.557999999997</v>
      </c>
      <c r="D63" s="23" t="str">
        <f t="shared" si="9"/>
        <v>vis</v>
      </c>
      <c r="E63" s="32">
        <f>VLOOKUP(C63,Active!C$21:E$973,3,FALSE)</f>
        <v>2801.0088681606253</v>
      </c>
      <c r="F63" s="2" t="s">
        <v>95</v>
      </c>
      <c r="G63" s="23" t="str">
        <f t="shared" si="10"/>
        <v>51135.558</v>
      </c>
      <c r="H63" s="24">
        <f t="shared" si="11"/>
        <v>2801</v>
      </c>
      <c r="I63" s="33" t="s">
        <v>290</v>
      </c>
      <c r="J63" s="34" t="s">
        <v>291</v>
      </c>
      <c r="K63" s="33">
        <v>2801</v>
      </c>
      <c r="L63" s="33" t="s">
        <v>292</v>
      </c>
      <c r="M63" s="34" t="s">
        <v>113</v>
      </c>
      <c r="N63" s="34"/>
      <c r="O63" s="35" t="s">
        <v>141</v>
      </c>
      <c r="P63" s="35" t="s">
        <v>293</v>
      </c>
    </row>
    <row r="64" spans="1:16" ht="12.75" customHeight="1" thickBot="1" x14ac:dyDescent="0.25">
      <c r="A64" s="24" t="str">
        <f t="shared" si="6"/>
        <v> BBS 124 </v>
      </c>
      <c r="B64" s="2" t="str">
        <f t="shared" si="7"/>
        <v>I</v>
      </c>
      <c r="C64" s="24">
        <f t="shared" si="8"/>
        <v>51959.358</v>
      </c>
      <c r="D64" s="23" t="str">
        <f t="shared" si="9"/>
        <v>vis</v>
      </c>
      <c r="E64" s="32">
        <f>VLOOKUP(C64,Active!C$21:E$973,3,FALSE)</f>
        <v>3224.0064204435453</v>
      </c>
      <c r="F64" s="2" t="s">
        <v>95</v>
      </c>
      <c r="G64" s="23" t="str">
        <f t="shared" si="10"/>
        <v>51959.358</v>
      </c>
      <c r="H64" s="24">
        <f t="shared" si="11"/>
        <v>3224</v>
      </c>
      <c r="I64" s="33" t="s">
        <v>299</v>
      </c>
      <c r="J64" s="34" t="s">
        <v>300</v>
      </c>
      <c r="K64" s="33">
        <v>3224</v>
      </c>
      <c r="L64" s="33" t="s">
        <v>222</v>
      </c>
      <c r="M64" s="34" t="s">
        <v>113</v>
      </c>
      <c r="N64" s="34"/>
      <c r="O64" s="35" t="s">
        <v>141</v>
      </c>
      <c r="P64" s="35" t="s">
        <v>301</v>
      </c>
    </row>
    <row r="65" spans="1:16" ht="12.75" customHeight="1" thickBot="1" x14ac:dyDescent="0.25">
      <c r="A65" s="24" t="str">
        <f t="shared" si="6"/>
        <v> BBS 126 </v>
      </c>
      <c r="B65" s="2" t="str">
        <f t="shared" si="7"/>
        <v>I</v>
      </c>
      <c r="C65" s="24">
        <f t="shared" si="8"/>
        <v>52208.631000000001</v>
      </c>
      <c r="D65" s="23" t="str">
        <f t="shared" si="9"/>
        <v>vis</v>
      </c>
      <c r="E65" s="32">
        <f>VLOOKUP(C65,Active!C$21:E$973,3,FALSE)</f>
        <v>3352.0009201403413</v>
      </c>
      <c r="F65" s="2" t="s">
        <v>95</v>
      </c>
      <c r="G65" s="23" t="str">
        <f t="shared" si="10"/>
        <v>52208.631</v>
      </c>
      <c r="H65" s="24">
        <f t="shared" si="11"/>
        <v>3352</v>
      </c>
      <c r="I65" s="33" t="s">
        <v>302</v>
      </c>
      <c r="J65" s="34" t="s">
        <v>303</v>
      </c>
      <c r="K65" s="33">
        <v>3352</v>
      </c>
      <c r="L65" s="33" t="s">
        <v>145</v>
      </c>
      <c r="M65" s="34" t="s">
        <v>113</v>
      </c>
      <c r="N65" s="34"/>
      <c r="O65" s="35" t="s">
        <v>141</v>
      </c>
      <c r="P65" s="35" t="s">
        <v>304</v>
      </c>
    </row>
    <row r="66" spans="1:16" ht="12.75" customHeight="1" thickBot="1" x14ac:dyDescent="0.25">
      <c r="A66" s="24" t="str">
        <f t="shared" si="6"/>
        <v> BBS 130 </v>
      </c>
      <c r="B66" s="2" t="str">
        <f t="shared" si="7"/>
        <v>I</v>
      </c>
      <c r="C66" s="24">
        <f t="shared" si="8"/>
        <v>52878.584999999999</v>
      </c>
      <c r="D66" s="23" t="str">
        <f t="shared" si="9"/>
        <v>vis</v>
      </c>
      <c r="E66" s="32">
        <f>VLOOKUP(C66,Active!C$21:E$973,3,FALSE)</f>
        <v>3696.0029863483401</v>
      </c>
      <c r="F66" s="2" t="s">
        <v>95</v>
      </c>
      <c r="G66" s="23" t="str">
        <f t="shared" si="10"/>
        <v>52878.585</v>
      </c>
      <c r="H66" s="24">
        <f t="shared" si="11"/>
        <v>3696</v>
      </c>
      <c r="I66" s="33" t="s">
        <v>305</v>
      </c>
      <c r="J66" s="34" t="s">
        <v>306</v>
      </c>
      <c r="K66" s="33">
        <v>3696</v>
      </c>
      <c r="L66" s="33" t="s">
        <v>307</v>
      </c>
      <c r="M66" s="34" t="s">
        <v>113</v>
      </c>
      <c r="N66" s="34"/>
      <c r="O66" s="35" t="s">
        <v>141</v>
      </c>
      <c r="P66" s="35" t="s">
        <v>308</v>
      </c>
    </row>
    <row r="67" spans="1:16" ht="12.75" customHeight="1" thickBot="1" x14ac:dyDescent="0.25">
      <c r="A67" s="24" t="str">
        <f t="shared" si="6"/>
        <v>IBVS 5690 </v>
      </c>
      <c r="B67" s="2" t="str">
        <f t="shared" si="7"/>
        <v>I</v>
      </c>
      <c r="C67" s="24">
        <f t="shared" si="8"/>
        <v>53308.986599999997</v>
      </c>
      <c r="D67" s="23" t="str">
        <f t="shared" si="9"/>
        <v>vis</v>
      </c>
      <c r="E67" s="32">
        <f>VLOOKUP(C67,Active!C$21:E$973,3,FALSE)</f>
        <v>3917.0018007434005</v>
      </c>
      <c r="F67" s="2" t="s">
        <v>95</v>
      </c>
      <c r="G67" s="23" t="str">
        <f t="shared" si="10"/>
        <v>53308.9866</v>
      </c>
      <c r="H67" s="24">
        <f t="shared" si="11"/>
        <v>3917</v>
      </c>
      <c r="I67" s="33" t="s">
        <v>309</v>
      </c>
      <c r="J67" s="34" t="s">
        <v>310</v>
      </c>
      <c r="K67" s="33">
        <v>3917</v>
      </c>
      <c r="L67" s="33" t="s">
        <v>311</v>
      </c>
      <c r="M67" s="34" t="s">
        <v>264</v>
      </c>
      <c r="N67" s="34" t="s">
        <v>265</v>
      </c>
      <c r="O67" s="35" t="s">
        <v>312</v>
      </c>
      <c r="P67" s="36" t="s">
        <v>313</v>
      </c>
    </row>
    <row r="68" spans="1:16" ht="12.75" customHeight="1" thickBot="1" x14ac:dyDescent="0.25">
      <c r="A68" s="24" t="str">
        <f t="shared" si="6"/>
        <v>OEJV 0003 </v>
      </c>
      <c r="B68" s="2" t="str">
        <f t="shared" si="7"/>
        <v>I</v>
      </c>
      <c r="C68" s="24">
        <f t="shared" si="8"/>
        <v>53326.510999999999</v>
      </c>
      <c r="D68" s="23" t="str">
        <f t="shared" si="9"/>
        <v>vis</v>
      </c>
      <c r="E68" s="32">
        <f>VLOOKUP(C68,Active!C$21:E$973,3,FALSE)</f>
        <v>3926.0000749667893</v>
      </c>
      <c r="F68" s="2" t="s">
        <v>95</v>
      </c>
      <c r="G68" s="23" t="str">
        <f t="shared" si="10"/>
        <v>53326.511</v>
      </c>
      <c r="H68" s="24">
        <f t="shared" si="11"/>
        <v>3926</v>
      </c>
      <c r="I68" s="33" t="s">
        <v>314</v>
      </c>
      <c r="J68" s="34" t="s">
        <v>315</v>
      </c>
      <c r="K68" s="33">
        <v>3926</v>
      </c>
      <c r="L68" s="33" t="s">
        <v>180</v>
      </c>
      <c r="M68" s="34" t="s">
        <v>113</v>
      </c>
      <c r="N68" s="34"/>
      <c r="O68" s="35" t="s">
        <v>141</v>
      </c>
      <c r="P68" s="36" t="s">
        <v>316</v>
      </c>
    </row>
    <row r="69" spans="1:16" ht="12.75" customHeight="1" thickBot="1" x14ac:dyDescent="0.25">
      <c r="A69" s="24" t="str">
        <f t="shared" si="6"/>
        <v>BAVM 178 </v>
      </c>
      <c r="B69" s="2" t="str">
        <f t="shared" si="7"/>
        <v>I</v>
      </c>
      <c r="C69" s="24">
        <f t="shared" si="8"/>
        <v>53780.288999999997</v>
      </c>
      <c r="D69" s="23" t="str">
        <f t="shared" si="9"/>
        <v>vis</v>
      </c>
      <c r="E69" s="32">
        <f>VLOOKUP(C69,Active!C$21:E$973,3,FALSE)</f>
        <v>4159.0019968893885</v>
      </c>
      <c r="F69" s="2" t="s">
        <v>95</v>
      </c>
      <c r="G69" s="23" t="str">
        <f t="shared" si="10"/>
        <v>53780.2890</v>
      </c>
      <c r="H69" s="24">
        <f t="shared" si="11"/>
        <v>4159</v>
      </c>
      <c r="I69" s="33" t="s">
        <v>321</v>
      </c>
      <c r="J69" s="34" t="s">
        <v>322</v>
      </c>
      <c r="K69" s="33">
        <v>4159</v>
      </c>
      <c r="L69" s="33" t="s">
        <v>323</v>
      </c>
      <c r="M69" s="34" t="s">
        <v>324</v>
      </c>
      <c r="N69" s="34" t="s">
        <v>325</v>
      </c>
      <c r="O69" s="35" t="s">
        <v>326</v>
      </c>
      <c r="P69" s="36" t="s">
        <v>327</v>
      </c>
    </row>
    <row r="70" spans="1:16" ht="12.75" customHeight="1" thickBot="1" x14ac:dyDescent="0.25">
      <c r="A70" s="24" t="str">
        <f t="shared" si="6"/>
        <v>IBVS 5870 </v>
      </c>
      <c r="B70" s="2" t="str">
        <f t="shared" si="7"/>
        <v>II</v>
      </c>
      <c r="C70" s="24">
        <f t="shared" si="8"/>
        <v>54511.571400000001</v>
      </c>
      <c r="D70" s="23" t="str">
        <f t="shared" si="9"/>
        <v>vis</v>
      </c>
      <c r="E70" s="32">
        <f>VLOOKUP(C70,Active!C$21:E$973,3,FALSE)</f>
        <v>4534.494428581037</v>
      </c>
      <c r="F70" s="2" t="s">
        <v>95</v>
      </c>
      <c r="G70" s="23" t="str">
        <f t="shared" si="10"/>
        <v>54511.5714</v>
      </c>
      <c r="H70" s="24">
        <f t="shared" si="11"/>
        <v>4534.5</v>
      </c>
      <c r="I70" s="33" t="s">
        <v>335</v>
      </c>
      <c r="J70" s="34" t="s">
        <v>336</v>
      </c>
      <c r="K70" s="33" t="s">
        <v>337</v>
      </c>
      <c r="L70" s="33" t="s">
        <v>338</v>
      </c>
      <c r="M70" s="34" t="s">
        <v>324</v>
      </c>
      <c r="N70" s="34" t="s">
        <v>95</v>
      </c>
      <c r="O70" s="35" t="s">
        <v>339</v>
      </c>
      <c r="P70" s="36" t="s">
        <v>340</v>
      </c>
    </row>
    <row r="71" spans="1:16" ht="12.75" customHeight="1" thickBot="1" x14ac:dyDescent="0.25">
      <c r="A71" s="24" t="str">
        <f t="shared" si="6"/>
        <v>IBVS 5894 </v>
      </c>
      <c r="B71" s="2" t="str">
        <f t="shared" si="7"/>
        <v>II</v>
      </c>
      <c r="C71" s="24">
        <f t="shared" si="8"/>
        <v>54842.684399999998</v>
      </c>
      <c r="D71" s="23" t="str">
        <f t="shared" si="9"/>
        <v>vis</v>
      </c>
      <c r="E71" s="32">
        <f>VLOOKUP(C71,Active!C$21:E$973,3,FALSE)</f>
        <v>4704.5114090727257</v>
      </c>
      <c r="F71" s="2" t="s">
        <v>95</v>
      </c>
      <c r="G71" s="23" t="str">
        <f t="shared" si="10"/>
        <v>54842.6844</v>
      </c>
      <c r="H71" s="24">
        <f t="shared" si="11"/>
        <v>4704.5</v>
      </c>
      <c r="I71" s="33" t="s">
        <v>341</v>
      </c>
      <c r="J71" s="34" t="s">
        <v>342</v>
      </c>
      <c r="K71" s="33" t="s">
        <v>343</v>
      </c>
      <c r="L71" s="33" t="s">
        <v>344</v>
      </c>
      <c r="M71" s="34" t="s">
        <v>324</v>
      </c>
      <c r="N71" s="34" t="s">
        <v>95</v>
      </c>
      <c r="O71" s="35" t="s">
        <v>136</v>
      </c>
      <c r="P71" s="36" t="s">
        <v>345</v>
      </c>
    </row>
    <row r="72" spans="1:16" ht="12.75" customHeight="1" thickBot="1" x14ac:dyDescent="0.25">
      <c r="A72" s="24" t="str">
        <f t="shared" si="6"/>
        <v>BAVM 214 </v>
      </c>
      <c r="B72" s="2" t="str">
        <f t="shared" si="7"/>
        <v>I</v>
      </c>
      <c r="C72" s="24">
        <f t="shared" si="8"/>
        <v>54857.2647</v>
      </c>
      <c r="D72" s="23" t="str">
        <f t="shared" si="9"/>
        <v>vis</v>
      </c>
      <c r="E72" s="32">
        <f>VLOOKUP(C72,Active!C$21:E$973,3,FALSE)</f>
        <v>4711.9979728158078</v>
      </c>
      <c r="F72" s="2" t="s">
        <v>95</v>
      </c>
      <c r="G72" s="23" t="str">
        <f t="shared" si="10"/>
        <v>54857.2647</v>
      </c>
      <c r="H72" s="24">
        <f t="shared" si="11"/>
        <v>4712</v>
      </c>
      <c r="I72" s="33" t="s">
        <v>346</v>
      </c>
      <c r="J72" s="34" t="s">
        <v>347</v>
      </c>
      <c r="K72" s="33" t="s">
        <v>348</v>
      </c>
      <c r="L72" s="33" t="s">
        <v>349</v>
      </c>
      <c r="M72" s="34" t="s">
        <v>324</v>
      </c>
      <c r="N72" s="34" t="s">
        <v>325</v>
      </c>
      <c r="O72" s="35" t="s">
        <v>350</v>
      </c>
      <c r="P72" s="36" t="s">
        <v>351</v>
      </c>
    </row>
    <row r="73" spans="1:16" ht="12.75" customHeight="1" thickBot="1" x14ac:dyDescent="0.25">
      <c r="A73" s="24" t="str">
        <f t="shared" si="6"/>
        <v>IBVS 5992 </v>
      </c>
      <c r="B73" s="2" t="str">
        <f t="shared" si="7"/>
        <v>I</v>
      </c>
      <c r="C73" s="24">
        <f t="shared" si="8"/>
        <v>55583.676599999999</v>
      </c>
      <c r="D73" s="23" t="str">
        <f t="shared" si="9"/>
        <v>vis</v>
      </c>
      <c r="E73" s="32">
        <f>VLOOKUP(C73,Active!C$21:E$973,3,FALSE)</f>
        <v>5084.9895431595605</v>
      </c>
      <c r="F73" s="2" t="s">
        <v>95</v>
      </c>
      <c r="G73" s="23" t="str">
        <f t="shared" si="10"/>
        <v>55583.6766</v>
      </c>
      <c r="H73" s="24">
        <f t="shared" si="11"/>
        <v>5085</v>
      </c>
      <c r="I73" s="33" t="s">
        <v>352</v>
      </c>
      <c r="J73" s="34" t="s">
        <v>353</v>
      </c>
      <c r="K73" s="33" t="s">
        <v>354</v>
      </c>
      <c r="L73" s="33" t="s">
        <v>355</v>
      </c>
      <c r="M73" s="34" t="s">
        <v>324</v>
      </c>
      <c r="N73" s="34" t="s">
        <v>95</v>
      </c>
      <c r="O73" s="35" t="s">
        <v>136</v>
      </c>
      <c r="P73" s="36" t="s">
        <v>356</v>
      </c>
    </row>
    <row r="74" spans="1:16" ht="12.75" customHeight="1" thickBot="1" x14ac:dyDescent="0.25">
      <c r="A74" s="24" t="str">
        <f t="shared" si="6"/>
        <v>BAVM 232 </v>
      </c>
      <c r="B74" s="2" t="str">
        <f t="shared" si="7"/>
        <v>I</v>
      </c>
      <c r="C74" s="24">
        <f t="shared" si="8"/>
        <v>56220.4931</v>
      </c>
      <c r="D74" s="23" t="str">
        <f t="shared" si="9"/>
        <v>CCD</v>
      </c>
      <c r="E74" s="32">
        <f>VLOOKUP(C74,Active!C$21:E$973,3,FALSE)</f>
        <v>5411.9764583736605</v>
      </c>
      <c r="F74" s="2" t="str">
        <f>LEFT(M74,1)</f>
        <v>C</v>
      </c>
      <c r="G74" s="23" t="str">
        <f t="shared" si="10"/>
        <v>56220.4931</v>
      </c>
      <c r="H74" s="24">
        <f t="shared" si="11"/>
        <v>5412</v>
      </c>
      <c r="I74" s="33" t="s">
        <v>357</v>
      </c>
      <c r="J74" s="34" t="s">
        <v>358</v>
      </c>
      <c r="K74" s="33" t="s">
        <v>359</v>
      </c>
      <c r="L74" s="33" t="s">
        <v>360</v>
      </c>
      <c r="M74" s="34" t="s">
        <v>324</v>
      </c>
      <c r="N74" s="34" t="s">
        <v>361</v>
      </c>
      <c r="O74" s="35" t="s">
        <v>362</v>
      </c>
      <c r="P74" s="36" t="s">
        <v>363</v>
      </c>
    </row>
    <row r="75" spans="1:16" ht="12.75" customHeight="1" thickBot="1" x14ac:dyDescent="0.25">
      <c r="A75" s="24" t="str">
        <f t="shared" si="6"/>
        <v>IBVS 6042 </v>
      </c>
      <c r="B75" s="2" t="str">
        <f t="shared" si="7"/>
        <v>I</v>
      </c>
      <c r="C75" s="24">
        <f t="shared" si="8"/>
        <v>56245.808700000001</v>
      </c>
      <c r="D75" s="23" t="str">
        <f t="shared" si="9"/>
        <v>CCD</v>
      </c>
      <c r="E75" s="32">
        <f>VLOOKUP(C75,Active!C$21:E$973,3,FALSE)</f>
        <v>5424.9752891998005</v>
      </c>
      <c r="F75" s="2" t="str">
        <f>LEFT(M75,1)</f>
        <v>C</v>
      </c>
      <c r="G75" s="23" t="str">
        <f t="shared" si="10"/>
        <v>56245.8087</v>
      </c>
      <c r="H75" s="24">
        <f t="shared" si="11"/>
        <v>5425</v>
      </c>
      <c r="I75" s="33" t="s">
        <v>364</v>
      </c>
      <c r="J75" s="34" t="s">
        <v>365</v>
      </c>
      <c r="K75" s="33" t="s">
        <v>366</v>
      </c>
      <c r="L75" s="33" t="s">
        <v>367</v>
      </c>
      <c r="M75" s="34" t="s">
        <v>324</v>
      </c>
      <c r="N75" s="34" t="s">
        <v>95</v>
      </c>
      <c r="O75" s="35" t="s">
        <v>136</v>
      </c>
      <c r="P75" s="36" t="s">
        <v>368</v>
      </c>
    </row>
    <row r="76" spans="1:16" ht="12.75" customHeight="1" thickBot="1" x14ac:dyDescent="0.25">
      <c r="A76" s="24" t="str">
        <f t="shared" si="6"/>
        <v> AA 27.156 </v>
      </c>
      <c r="B76" s="2" t="str">
        <f t="shared" si="7"/>
        <v>I</v>
      </c>
      <c r="C76" s="24">
        <f t="shared" si="8"/>
        <v>28188.191999999999</v>
      </c>
      <c r="D76" s="23" t="str">
        <f t="shared" si="9"/>
        <v>vis</v>
      </c>
      <c r="E76" s="32">
        <f>VLOOKUP(C76,Active!C$21:E$973,3,FALSE)</f>
        <v>-8981.8020681591915</v>
      </c>
      <c r="F76" s="2" t="s">
        <v>95</v>
      </c>
      <c r="G76" s="23" t="str">
        <f t="shared" si="10"/>
        <v>28188.192</v>
      </c>
      <c r="H76" s="24">
        <f t="shared" si="11"/>
        <v>-8982</v>
      </c>
      <c r="I76" s="33" t="s">
        <v>116</v>
      </c>
      <c r="J76" s="34" t="s">
        <v>117</v>
      </c>
      <c r="K76" s="33">
        <v>-8982</v>
      </c>
      <c r="L76" s="33" t="s">
        <v>118</v>
      </c>
      <c r="M76" s="34" t="s">
        <v>113</v>
      </c>
      <c r="N76" s="34"/>
      <c r="O76" s="35" t="s">
        <v>114</v>
      </c>
      <c r="P76" s="35" t="s">
        <v>119</v>
      </c>
    </row>
    <row r="77" spans="1:16" ht="12.75" customHeight="1" thickBot="1" x14ac:dyDescent="0.25">
      <c r="A77" s="24" t="str">
        <f t="shared" si="6"/>
        <v>VSB 38 </v>
      </c>
      <c r="B77" s="2" t="str">
        <f t="shared" si="7"/>
        <v>I</v>
      </c>
      <c r="C77" s="24">
        <f t="shared" si="8"/>
        <v>51895.084600000002</v>
      </c>
      <c r="D77" s="23" t="str">
        <f t="shared" si="9"/>
        <v>vis</v>
      </c>
      <c r="E77" s="32">
        <f>VLOOKUP(C77,Active!C$21:E$973,3,FALSE)</f>
        <v>3191.0038823555383</v>
      </c>
      <c r="F77" s="2" t="s">
        <v>95</v>
      </c>
      <c r="G77" s="23" t="str">
        <f t="shared" si="10"/>
        <v>51895.0846</v>
      </c>
      <c r="H77" s="24">
        <f t="shared" si="11"/>
        <v>3191</v>
      </c>
      <c r="I77" s="33" t="s">
        <v>294</v>
      </c>
      <c r="J77" s="34" t="s">
        <v>295</v>
      </c>
      <c r="K77" s="33">
        <v>3191</v>
      </c>
      <c r="L77" s="33" t="s">
        <v>296</v>
      </c>
      <c r="M77" s="34" t="s">
        <v>264</v>
      </c>
      <c r="N77" s="34" t="s">
        <v>265</v>
      </c>
      <c r="O77" s="35" t="s">
        <v>297</v>
      </c>
      <c r="P77" s="36" t="s">
        <v>298</v>
      </c>
    </row>
    <row r="78" spans="1:16" ht="12.75" customHeight="1" thickBot="1" x14ac:dyDescent="0.25">
      <c r="A78" s="24" t="str">
        <f t="shared" si="6"/>
        <v>VSB 44 </v>
      </c>
      <c r="B78" s="2" t="str">
        <f t="shared" si="7"/>
        <v>I</v>
      </c>
      <c r="C78" s="24">
        <f t="shared" si="8"/>
        <v>53708.23</v>
      </c>
      <c r="D78" s="23" t="str">
        <f t="shared" si="9"/>
        <v>vis</v>
      </c>
      <c r="E78" s="32">
        <f>VLOOKUP(C78,Active!C$21:E$973,3,FALSE)</f>
        <v>4122.0017776372015</v>
      </c>
      <c r="F78" s="2" t="s">
        <v>95</v>
      </c>
      <c r="G78" s="23" t="str">
        <f t="shared" si="10"/>
        <v>53708.2300</v>
      </c>
      <c r="H78" s="24">
        <f t="shared" si="11"/>
        <v>4122</v>
      </c>
      <c r="I78" s="33" t="s">
        <v>317</v>
      </c>
      <c r="J78" s="34" t="s">
        <v>318</v>
      </c>
      <c r="K78" s="33">
        <v>4122</v>
      </c>
      <c r="L78" s="33" t="s">
        <v>311</v>
      </c>
      <c r="M78" s="34" t="s">
        <v>264</v>
      </c>
      <c r="N78" s="34" t="s">
        <v>265</v>
      </c>
      <c r="O78" s="35" t="s">
        <v>319</v>
      </c>
      <c r="P78" s="36" t="s">
        <v>320</v>
      </c>
    </row>
    <row r="79" spans="1:16" ht="12.75" customHeight="1" thickBot="1" x14ac:dyDescent="0.25">
      <c r="A79" s="24" t="str">
        <f t="shared" si="6"/>
        <v>VSB 48 </v>
      </c>
      <c r="B79" s="2" t="str">
        <f t="shared" si="7"/>
        <v>I</v>
      </c>
      <c r="C79" s="24">
        <f t="shared" si="8"/>
        <v>54496.975599999998</v>
      </c>
      <c r="D79" s="23" t="str">
        <f t="shared" si="9"/>
        <v>vis</v>
      </c>
      <c r="E79" s="32">
        <f>VLOOKUP(C79,Active!C$21:E$973,3,FALSE)</f>
        <v>4526.9999060347727</v>
      </c>
      <c r="F79" s="2" t="s">
        <v>95</v>
      </c>
      <c r="G79" s="23" t="str">
        <f t="shared" si="10"/>
        <v>54496.9756</v>
      </c>
      <c r="H79" s="24">
        <f t="shared" si="11"/>
        <v>4527</v>
      </c>
      <c r="I79" s="33" t="s">
        <v>328</v>
      </c>
      <c r="J79" s="34" t="s">
        <v>329</v>
      </c>
      <c r="K79" s="33" t="s">
        <v>330</v>
      </c>
      <c r="L79" s="33" t="s">
        <v>331</v>
      </c>
      <c r="M79" s="34" t="s">
        <v>324</v>
      </c>
      <c r="N79" s="34" t="s">
        <v>332</v>
      </c>
      <c r="O79" s="35" t="s">
        <v>333</v>
      </c>
      <c r="P79" s="36" t="s">
        <v>334</v>
      </c>
    </row>
    <row r="80" spans="1:1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</sheetData>
  <phoneticPr fontId="8" type="noConversion"/>
  <hyperlinks>
    <hyperlink ref="P54" r:id="rId1" display="http://www.konkoly.hu/cgi-bin/IBVS?4083"/>
    <hyperlink ref="P57" r:id="rId2" display="http://www.konkoly.hu/cgi-bin/IBVS?4083"/>
    <hyperlink ref="P58" r:id="rId3" display="http://www.konkoly.hu/cgi-bin/IBVS?4083"/>
    <hyperlink ref="P77" r:id="rId4" display="http://vsolj.cetus-net.org/no38.pdf"/>
    <hyperlink ref="P67" r:id="rId5" display="http://www.konkoly.hu/cgi-bin/IBVS?5690"/>
    <hyperlink ref="P68" r:id="rId6" display="http://var.astro.cz/oejv/issues/oejv0003.pdf"/>
    <hyperlink ref="P78" r:id="rId7" display="http://vsolj.cetus-net.org/no44.pdf"/>
    <hyperlink ref="P69" r:id="rId8" display="http://www.bav-astro.de/sfs/BAVM_link.php?BAVMnr=178"/>
    <hyperlink ref="P79" r:id="rId9" display="http://vsolj.cetus-net.org/no48.pdf"/>
    <hyperlink ref="P70" r:id="rId10" display="http://www.konkoly.hu/cgi-bin/IBVS?5870"/>
    <hyperlink ref="P71" r:id="rId11" display="http://www.konkoly.hu/cgi-bin/IBVS?5894"/>
    <hyperlink ref="P72" r:id="rId12" display="http://www.bav-astro.de/sfs/BAVM_link.php?BAVMnr=214"/>
    <hyperlink ref="P73" r:id="rId13" display="http://www.konkoly.hu/cgi-bin/IBVS?5992"/>
    <hyperlink ref="P74" r:id="rId14" display="http://www.bav-astro.de/sfs/BAVM_link.php?BAVMnr=232"/>
    <hyperlink ref="P75" r:id="rId15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2024-02-28T06:14:37Z</dcterms:modified>
</cp:coreProperties>
</file>