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DDF96DB-CCAF-4689-8963-DE2C5C74AB7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2" i="1"/>
  <c r="F42" i="1"/>
  <c r="G42" i="1"/>
  <c r="I42" i="1"/>
  <c r="E9" i="1"/>
  <c r="D9" i="1"/>
  <c r="E41" i="1"/>
  <c r="F41" i="1"/>
  <c r="G41" i="1"/>
  <c r="I41" i="1"/>
  <c r="Q21" i="1"/>
  <c r="Q22" i="1"/>
  <c r="Q23" i="1"/>
  <c r="Q24" i="1"/>
  <c r="Q25" i="1"/>
  <c r="Q26" i="1"/>
  <c r="H27" i="1"/>
  <c r="Q27" i="1"/>
  <c r="Q28" i="1"/>
  <c r="Q29" i="1"/>
  <c r="Q30" i="1"/>
  <c r="Q31" i="1"/>
  <c r="Q32" i="1"/>
  <c r="Q33" i="1"/>
  <c r="Q34" i="1"/>
  <c r="I35" i="1"/>
  <c r="Q35" i="1"/>
  <c r="Q36" i="1"/>
  <c r="Q37" i="1"/>
  <c r="Q38" i="1"/>
  <c r="Q39" i="1"/>
  <c r="Q40" i="1"/>
  <c r="Q42" i="1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G11" i="2"/>
  <c r="C11" i="2"/>
  <c r="E1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F16" i="1"/>
  <c r="F17" i="1" s="1"/>
  <c r="C17" i="1"/>
  <c r="Q41" i="1"/>
  <c r="E20" i="2"/>
  <c r="E12" i="2"/>
  <c r="C11" i="1"/>
  <c r="C12" i="1"/>
  <c r="C16" i="1" l="1"/>
  <c r="D18" i="1" s="1"/>
  <c r="O22" i="1"/>
  <c r="O36" i="1"/>
  <c r="O24" i="1"/>
  <c r="O30" i="1"/>
  <c r="C15" i="1"/>
  <c r="O39" i="1"/>
  <c r="O42" i="1"/>
  <c r="O32" i="1"/>
  <c r="O38" i="1"/>
  <c r="O23" i="1"/>
  <c r="O40" i="1"/>
  <c r="O25" i="1"/>
  <c r="O31" i="1"/>
  <c r="O33" i="1"/>
  <c r="O37" i="1"/>
  <c r="O26" i="1"/>
  <c r="O34" i="1"/>
  <c r="O27" i="1"/>
  <c r="O35" i="1"/>
  <c r="O21" i="1"/>
  <c r="O41" i="1"/>
  <c r="O29" i="1"/>
  <c r="O28" i="1"/>
  <c r="C18" i="1" l="1"/>
  <c r="F18" i="1"/>
  <c r="F19" i="1" s="1"/>
</calcChain>
</file>

<file path=xl/sharedStrings.xml><?xml version="1.0" encoding="utf-8"?>
<sst xmlns="http://schemas.openxmlformats.org/spreadsheetml/2006/main" count="243" uniqueCount="122">
  <si>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</si>
  <si>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</si>
  <si>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</si>
  <si>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</si>
  <si>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</si>
  <si>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</si>
  <si>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</si>
  <si>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</si>
  <si>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</si>
  <si>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</si>
  <si>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</si>
  <si>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</si>
  <si>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</si>
  <si>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</si>
  <si>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</si>
  <si>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</si>
  <si>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</si>
  <si>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</si>
  <si>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</si>
  <si>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</si>
  <si>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</si>
  <si>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</si>
  <si>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</si>
  <si>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</si>
  <si>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</si>
  <si>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</si>
  <si>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</si>
  <si>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</si>
  <si>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</si>
  <si>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</si>
  <si>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</si>
  <si>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</si>
  <si>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</si>
  <si>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</si>
  <si>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</si>
  <si>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</si>
  <si>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</si>
  <si>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</si>
  <si>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</si>
  <si>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</si>
  <si>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</si>
  <si>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</si>
  <si>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</si>
  <si>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</si>
  <si>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</si>
  <si>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</si>
  <si>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</si>
  <si>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</si>
  <si>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FM Ori</t>
  </si>
  <si>
    <t>EA/DS</t>
  </si>
  <si>
    <t>Kreiner</t>
  </si>
  <si>
    <t>GCVS 4</t>
  </si>
  <si>
    <t>FM Ori / GSC 52521.8</t>
  </si>
  <si>
    <t>2425859.606 </t>
  </si>
  <si>
    <t> 05.09.1929 02:32 </t>
  </si>
  <si>
    <t> 0.018 </t>
  </si>
  <si>
    <t>P </t>
  </si>
  <si>
    <t> A.Jensch </t>
  </si>
  <si>
    <t> AN 252.397 </t>
  </si>
  <si>
    <t>2425925.493 </t>
  </si>
  <si>
    <t> 09.11.1929 23:49 </t>
  </si>
  <si>
    <t> -0.530 </t>
  </si>
  <si>
    <t>2425925.614 </t>
  </si>
  <si>
    <t> 10.11.1929 02:44 </t>
  </si>
  <si>
    <t> -0.409 </t>
  </si>
  <si>
    <t>2426037.344 </t>
  </si>
  <si>
    <t> 01.03.1930 20:15 </t>
  </si>
  <si>
    <t> 0.595 </t>
  </si>
  <si>
    <t>2426391.272 </t>
  </si>
  <si>
    <t> 18.02.1931 18:31 </t>
  </si>
  <si>
    <t> 0.201 </t>
  </si>
  <si>
    <t>2426634.603 </t>
  </si>
  <si>
    <t> 20.10.1931 02:28 </t>
  </si>
  <si>
    <t> -0.064 </t>
  </si>
  <si>
    <t>2426767.278 </t>
  </si>
  <si>
    <t> 29.02.1932 18:40 </t>
  </si>
  <si>
    <t> -0.260 </t>
  </si>
  <si>
    <t>2426767.369 </t>
  </si>
  <si>
    <t> 29.02.1932 20:51 </t>
  </si>
  <si>
    <t> -0.169 </t>
  </si>
  <si>
    <t>2426988.551 </t>
  </si>
  <si>
    <t> 08.10.1932 01:13 </t>
  </si>
  <si>
    <t> -0.438 </t>
  </si>
  <si>
    <t>2430731.397 </t>
  </si>
  <si>
    <t> 06.01.1943 21:31 </t>
  </si>
  <si>
    <t> -0.119 </t>
  </si>
  <si>
    <t> B.Wedel </t>
  </si>
  <si>
    <t> MVS 191 </t>
  </si>
  <si>
    <t>2430820.334 </t>
  </si>
  <si>
    <t> 05.04.1943 20:00 </t>
  </si>
  <si>
    <t> 0.238 </t>
  </si>
  <si>
    <t>2432480.581 </t>
  </si>
  <si>
    <t> 22.10.1947 01:56 </t>
  </si>
  <si>
    <t> -0.399 </t>
  </si>
  <si>
    <t>2432946.360 </t>
  </si>
  <si>
    <t> 29.01.1949 20:38 </t>
  </si>
  <si>
    <t> 0.332 </t>
  </si>
  <si>
    <t>2433566.483 </t>
  </si>
  <si>
    <t> 11.10.1950 23:35 </t>
  </si>
  <si>
    <t> 0.391 </t>
  </si>
  <si>
    <t>2433920.577 </t>
  </si>
  <si>
    <t> 01.10.1951 01:50 </t>
  </si>
  <si>
    <t> 0.163 </t>
  </si>
  <si>
    <t>2434252.586 </t>
  </si>
  <si>
    <t> 28.08.1952 02:03 </t>
  </si>
  <si>
    <t> -0.004 </t>
  </si>
  <si>
    <t>2434452.4 </t>
  </si>
  <si>
    <t> 15.03.1953 21:36 </t>
  </si>
  <si>
    <t> 0.5 </t>
  </si>
  <si>
    <t>2434628.567 </t>
  </si>
  <si>
    <t> 08.09.1953 01:36 </t>
  </si>
  <si>
    <t> -0.491 </t>
  </si>
  <si>
    <t>2435093.432 </t>
  </si>
  <si>
    <t> 16.12.1954 22:22 </t>
  </si>
  <si>
    <t> -0.673 </t>
  </si>
  <si>
    <t>2453451.85 </t>
  </si>
  <si>
    <t> 22.03.2005 08:24 </t>
  </si>
  <si>
    <t> -0.56 </t>
  </si>
  <si>
    <t>V </t>
  </si>
  <si>
    <t> R.Meyer </t>
  </si>
  <si>
    <t>BAVM 192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</si>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</sst>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0" fillId="4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FM Ori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-1204</c:v>
                </c:pt>
                <c:pt idx="1">
                  <c:v>-1204</c:v>
                </c:pt>
                <c:pt idx="2">
                  <c:v>-1201</c:v>
                </c:pt>
                <c:pt idx="3">
                  <c:v>-1201</c:v>
                </c:pt>
                <c:pt idx="4">
                  <c:v>-1196</c:v>
                </c:pt>
                <c:pt idx="5">
                  <c:v>-1180</c:v>
                </c:pt>
                <c:pt idx="6">
                  <c:v>-1169</c:v>
                </c:pt>
                <c:pt idx="7">
                  <c:v>-1163</c:v>
                </c:pt>
                <c:pt idx="8">
                  <c:v>-1163</c:v>
                </c:pt>
                <c:pt idx="9">
                  <c:v>-1153</c:v>
                </c:pt>
                <c:pt idx="10">
                  <c:v>-984</c:v>
                </c:pt>
                <c:pt idx="11">
                  <c:v>-980</c:v>
                </c:pt>
                <c:pt idx="12">
                  <c:v>-905</c:v>
                </c:pt>
                <c:pt idx="13">
                  <c:v>-884</c:v>
                </c:pt>
                <c:pt idx="14">
                  <c:v>-856</c:v>
                </c:pt>
                <c:pt idx="15">
                  <c:v>-840</c:v>
                </c:pt>
                <c:pt idx="16">
                  <c:v>-825</c:v>
                </c:pt>
                <c:pt idx="17">
                  <c:v>-816</c:v>
                </c:pt>
                <c:pt idx="18">
                  <c:v>-808</c:v>
                </c:pt>
                <c:pt idx="19">
                  <c:v>-787</c:v>
                </c:pt>
                <c:pt idx="20">
                  <c:v>0</c:v>
                </c:pt>
                <c:pt idx="21">
                  <c:v>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0.12719999999535503</c:v>
                </c:pt>
                <c:pt idx="1">
                  <c:v>0.14519999999538413</c:v>
                </c:pt>
                <c:pt idx="2">
                  <c:v>-0.40220000000408618</c:v>
                </c:pt>
                <c:pt idx="3">
                  <c:v>-0.28120000000126311</c:v>
                </c:pt>
                <c:pt idx="4">
                  <c:v>0.72479999999632128</c:v>
                </c:pt>
                <c:pt idx="5">
                  <c:v>0.33599999999933061</c:v>
                </c:pt>
                <c:pt idx="6">
                  <c:v>7.4199999995471444E-2</c:v>
                </c:pt>
                <c:pt idx="7">
                  <c:v>-0.11960000000544824</c:v>
                </c:pt>
                <c:pt idx="8">
                  <c:v>-2.8600000005098991E-2</c:v>
                </c:pt>
                <c:pt idx="9">
                  <c:v>-0.29460000000472064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74-4702-80D2-90D2F5297E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-1204</c:v>
                </c:pt>
                <c:pt idx="1">
                  <c:v>-1204</c:v>
                </c:pt>
                <c:pt idx="2">
                  <c:v>-1201</c:v>
                </c:pt>
                <c:pt idx="3">
                  <c:v>-1201</c:v>
                </c:pt>
                <c:pt idx="4">
                  <c:v>-1196</c:v>
                </c:pt>
                <c:pt idx="5">
                  <c:v>-1180</c:v>
                </c:pt>
                <c:pt idx="6">
                  <c:v>-1169</c:v>
                </c:pt>
                <c:pt idx="7">
                  <c:v>-1163</c:v>
                </c:pt>
                <c:pt idx="8">
                  <c:v>-1163</c:v>
                </c:pt>
                <c:pt idx="9">
                  <c:v>-1153</c:v>
                </c:pt>
                <c:pt idx="10">
                  <c:v>-984</c:v>
                </c:pt>
                <c:pt idx="11">
                  <c:v>-980</c:v>
                </c:pt>
                <c:pt idx="12">
                  <c:v>-905</c:v>
                </c:pt>
                <c:pt idx="13">
                  <c:v>-884</c:v>
                </c:pt>
                <c:pt idx="14">
                  <c:v>-856</c:v>
                </c:pt>
                <c:pt idx="15">
                  <c:v>-840</c:v>
                </c:pt>
                <c:pt idx="16">
                  <c:v>-825</c:v>
                </c:pt>
                <c:pt idx="17">
                  <c:v>-816</c:v>
                </c:pt>
                <c:pt idx="18">
                  <c:v>-808</c:v>
                </c:pt>
                <c:pt idx="19">
                  <c:v>-787</c:v>
                </c:pt>
                <c:pt idx="20">
                  <c:v>0</c:v>
                </c:pt>
                <c:pt idx="21">
                  <c:v>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0">
                  <c:v>8.0199999996693805E-2</c:v>
                </c:pt>
                <c:pt idx="11">
                  <c:v>0.4379999999946449</c:v>
                </c:pt>
                <c:pt idx="12">
                  <c:v>-0.17500000000291038</c:v>
                </c:pt>
                <c:pt idx="13">
                  <c:v>0.56319999999686843</c:v>
                </c:pt>
                <c:pt idx="14">
                  <c:v>0.63179999999556458</c:v>
                </c:pt>
                <c:pt idx="15">
                  <c:v>0.4089999999923748</c:v>
                </c:pt>
                <c:pt idx="16">
                  <c:v>0.24599999999918509</c:v>
                </c:pt>
                <c:pt idx="17">
                  <c:v>0.75679999999556458</c:v>
                </c:pt>
                <c:pt idx="18">
                  <c:v>-0.23460000000341097</c:v>
                </c:pt>
                <c:pt idx="19">
                  <c:v>-0.41040000000066357</c:v>
                </c:pt>
                <c:pt idx="20">
                  <c:v>0</c:v>
                </c:pt>
                <c:pt idx="21">
                  <c:v>-3.1600000002072193E-2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74-4702-80D2-90D2F5297E3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-1204</c:v>
                </c:pt>
                <c:pt idx="1">
                  <c:v>-1204</c:v>
                </c:pt>
                <c:pt idx="2">
                  <c:v>-1201</c:v>
                </c:pt>
                <c:pt idx="3">
                  <c:v>-1201</c:v>
                </c:pt>
                <c:pt idx="4">
                  <c:v>-1196</c:v>
                </c:pt>
                <c:pt idx="5">
                  <c:v>-1180</c:v>
                </c:pt>
                <c:pt idx="6">
                  <c:v>-1169</c:v>
                </c:pt>
                <c:pt idx="7">
                  <c:v>-1163</c:v>
                </c:pt>
                <c:pt idx="8">
                  <c:v>-1163</c:v>
                </c:pt>
                <c:pt idx="9">
                  <c:v>-1153</c:v>
                </c:pt>
                <c:pt idx="10">
                  <c:v>-984</c:v>
                </c:pt>
                <c:pt idx="11">
                  <c:v>-980</c:v>
                </c:pt>
                <c:pt idx="12">
                  <c:v>-905</c:v>
                </c:pt>
                <c:pt idx="13">
                  <c:v>-884</c:v>
                </c:pt>
                <c:pt idx="14">
                  <c:v>-856</c:v>
                </c:pt>
                <c:pt idx="15">
                  <c:v>-840</c:v>
                </c:pt>
                <c:pt idx="16">
                  <c:v>-825</c:v>
                </c:pt>
                <c:pt idx="17">
                  <c:v>-816</c:v>
                </c:pt>
                <c:pt idx="18">
                  <c:v>-808</c:v>
                </c:pt>
                <c:pt idx="19">
                  <c:v>-787</c:v>
                </c:pt>
                <c:pt idx="20">
                  <c:v>0</c:v>
                </c:pt>
                <c:pt idx="21">
                  <c:v>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74-4702-80D2-90D2F5297E3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-1204</c:v>
                </c:pt>
                <c:pt idx="1">
                  <c:v>-1204</c:v>
                </c:pt>
                <c:pt idx="2">
                  <c:v>-1201</c:v>
                </c:pt>
                <c:pt idx="3">
                  <c:v>-1201</c:v>
                </c:pt>
                <c:pt idx="4">
                  <c:v>-1196</c:v>
                </c:pt>
                <c:pt idx="5">
                  <c:v>-1180</c:v>
                </c:pt>
                <c:pt idx="6">
                  <c:v>-1169</c:v>
                </c:pt>
                <c:pt idx="7">
                  <c:v>-1163</c:v>
                </c:pt>
                <c:pt idx="8">
                  <c:v>-1163</c:v>
                </c:pt>
                <c:pt idx="9">
                  <c:v>-1153</c:v>
                </c:pt>
                <c:pt idx="10">
                  <c:v>-984</c:v>
                </c:pt>
                <c:pt idx="11">
                  <c:v>-980</c:v>
                </c:pt>
                <c:pt idx="12">
                  <c:v>-905</c:v>
                </c:pt>
                <c:pt idx="13">
                  <c:v>-884</c:v>
                </c:pt>
                <c:pt idx="14">
                  <c:v>-856</c:v>
                </c:pt>
                <c:pt idx="15">
                  <c:v>-840</c:v>
                </c:pt>
                <c:pt idx="16">
                  <c:v>-825</c:v>
                </c:pt>
                <c:pt idx="17">
                  <c:v>-816</c:v>
                </c:pt>
                <c:pt idx="18">
                  <c:v>-808</c:v>
                </c:pt>
                <c:pt idx="19">
                  <c:v>-787</c:v>
                </c:pt>
                <c:pt idx="20">
                  <c:v>0</c:v>
                </c:pt>
                <c:pt idx="21">
                  <c:v>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74-4702-80D2-90D2F5297E3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-1204</c:v>
                </c:pt>
                <c:pt idx="1">
                  <c:v>-1204</c:v>
                </c:pt>
                <c:pt idx="2">
                  <c:v>-1201</c:v>
                </c:pt>
                <c:pt idx="3">
                  <c:v>-1201</c:v>
                </c:pt>
                <c:pt idx="4">
                  <c:v>-1196</c:v>
                </c:pt>
                <c:pt idx="5">
                  <c:v>-1180</c:v>
                </c:pt>
                <c:pt idx="6">
                  <c:v>-1169</c:v>
                </c:pt>
                <c:pt idx="7">
                  <c:v>-1163</c:v>
                </c:pt>
                <c:pt idx="8">
                  <c:v>-1163</c:v>
                </c:pt>
                <c:pt idx="9">
                  <c:v>-1153</c:v>
                </c:pt>
                <c:pt idx="10">
                  <c:v>-984</c:v>
                </c:pt>
                <c:pt idx="11">
                  <c:v>-980</c:v>
                </c:pt>
                <c:pt idx="12">
                  <c:v>-905</c:v>
                </c:pt>
                <c:pt idx="13">
                  <c:v>-884</c:v>
                </c:pt>
                <c:pt idx="14">
                  <c:v>-856</c:v>
                </c:pt>
                <c:pt idx="15">
                  <c:v>-840</c:v>
                </c:pt>
                <c:pt idx="16">
                  <c:v>-825</c:v>
                </c:pt>
                <c:pt idx="17">
                  <c:v>-816</c:v>
                </c:pt>
                <c:pt idx="18">
                  <c:v>-808</c:v>
                </c:pt>
                <c:pt idx="19">
                  <c:v>-787</c:v>
                </c:pt>
                <c:pt idx="20">
                  <c:v>0</c:v>
                </c:pt>
                <c:pt idx="21">
                  <c:v>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74-4702-80D2-90D2F5297E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-1204</c:v>
                </c:pt>
                <c:pt idx="1">
                  <c:v>-1204</c:v>
                </c:pt>
                <c:pt idx="2">
                  <c:v>-1201</c:v>
                </c:pt>
                <c:pt idx="3">
                  <c:v>-1201</c:v>
                </c:pt>
                <c:pt idx="4">
                  <c:v>-1196</c:v>
                </c:pt>
                <c:pt idx="5">
                  <c:v>-1180</c:v>
                </c:pt>
                <c:pt idx="6">
                  <c:v>-1169</c:v>
                </c:pt>
                <c:pt idx="7">
                  <c:v>-1163</c:v>
                </c:pt>
                <c:pt idx="8">
                  <c:v>-1163</c:v>
                </c:pt>
                <c:pt idx="9">
                  <c:v>-1153</c:v>
                </c:pt>
                <c:pt idx="10">
                  <c:v>-984</c:v>
                </c:pt>
                <c:pt idx="11">
                  <c:v>-980</c:v>
                </c:pt>
                <c:pt idx="12">
                  <c:v>-905</c:v>
                </c:pt>
                <c:pt idx="13">
                  <c:v>-884</c:v>
                </c:pt>
                <c:pt idx="14">
                  <c:v>-856</c:v>
                </c:pt>
                <c:pt idx="15">
                  <c:v>-840</c:v>
                </c:pt>
                <c:pt idx="16">
                  <c:v>-825</c:v>
                </c:pt>
                <c:pt idx="17">
                  <c:v>-816</c:v>
                </c:pt>
                <c:pt idx="18">
                  <c:v>-808</c:v>
                </c:pt>
                <c:pt idx="19">
                  <c:v>-787</c:v>
                </c:pt>
                <c:pt idx="20">
                  <c:v>0</c:v>
                </c:pt>
                <c:pt idx="21">
                  <c:v>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74-4702-80D2-90D2F5297E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-1204</c:v>
                </c:pt>
                <c:pt idx="1">
                  <c:v>-1204</c:v>
                </c:pt>
                <c:pt idx="2">
                  <c:v>-1201</c:v>
                </c:pt>
                <c:pt idx="3">
                  <c:v>-1201</c:v>
                </c:pt>
                <c:pt idx="4">
                  <c:v>-1196</c:v>
                </c:pt>
                <c:pt idx="5">
                  <c:v>-1180</c:v>
                </c:pt>
                <c:pt idx="6">
                  <c:v>-1169</c:v>
                </c:pt>
                <c:pt idx="7">
                  <c:v>-1163</c:v>
                </c:pt>
                <c:pt idx="8">
                  <c:v>-1163</c:v>
                </c:pt>
                <c:pt idx="9">
                  <c:v>-1153</c:v>
                </c:pt>
                <c:pt idx="10">
                  <c:v>-984</c:v>
                </c:pt>
                <c:pt idx="11">
                  <c:v>-980</c:v>
                </c:pt>
                <c:pt idx="12">
                  <c:v>-905</c:v>
                </c:pt>
                <c:pt idx="13">
                  <c:v>-884</c:v>
                </c:pt>
                <c:pt idx="14">
                  <c:v>-856</c:v>
                </c:pt>
                <c:pt idx="15">
                  <c:v>-840</c:v>
                </c:pt>
                <c:pt idx="16">
                  <c:v>-825</c:v>
                </c:pt>
                <c:pt idx="17">
                  <c:v>-816</c:v>
                </c:pt>
                <c:pt idx="18">
                  <c:v>-808</c:v>
                </c:pt>
                <c:pt idx="19">
                  <c:v>-787</c:v>
                </c:pt>
                <c:pt idx="20">
                  <c:v>0</c:v>
                </c:pt>
                <c:pt idx="21">
                  <c:v>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74-4702-80D2-90D2F5297E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-1204</c:v>
                </c:pt>
                <c:pt idx="1">
                  <c:v>-1204</c:v>
                </c:pt>
                <c:pt idx="2">
                  <c:v>-1201</c:v>
                </c:pt>
                <c:pt idx="3">
                  <c:v>-1201</c:v>
                </c:pt>
                <c:pt idx="4">
                  <c:v>-1196</c:v>
                </c:pt>
                <c:pt idx="5">
                  <c:v>-1180</c:v>
                </c:pt>
                <c:pt idx="6">
                  <c:v>-1169</c:v>
                </c:pt>
                <c:pt idx="7">
                  <c:v>-1163</c:v>
                </c:pt>
                <c:pt idx="8">
                  <c:v>-1163</c:v>
                </c:pt>
                <c:pt idx="9">
                  <c:v>-1153</c:v>
                </c:pt>
                <c:pt idx="10">
                  <c:v>-984</c:v>
                </c:pt>
                <c:pt idx="11">
                  <c:v>-980</c:v>
                </c:pt>
                <c:pt idx="12">
                  <c:v>-905</c:v>
                </c:pt>
                <c:pt idx="13">
                  <c:v>-884</c:v>
                </c:pt>
                <c:pt idx="14">
                  <c:v>-856</c:v>
                </c:pt>
                <c:pt idx="15">
                  <c:v>-840</c:v>
                </c:pt>
                <c:pt idx="16">
                  <c:v>-825</c:v>
                </c:pt>
                <c:pt idx="17">
                  <c:v>-816</c:v>
                </c:pt>
                <c:pt idx="18">
                  <c:v>-808</c:v>
                </c:pt>
                <c:pt idx="19">
                  <c:v>-787</c:v>
                </c:pt>
                <c:pt idx="20">
                  <c:v>0</c:v>
                </c:pt>
                <c:pt idx="21">
                  <c:v>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0.11706828614644728</c:v>
                </c:pt>
                <c:pt idx="1">
                  <c:v>0.11706828614644728</c:v>
                </c:pt>
                <c:pt idx="2">
                  <c:v>0.11705785412417208</c:v>
                </c:pt>
                <c:pt idx="3">
                  <c:v>0.11705785412417208</c:v>
                </c:pt>
                <c:pt idx="4">
                  <c:v>0.11704046742038006</c:v>
                </c:pt>
                <c:pt idx="5">
                  <c:v>0.11698482996824562</c:v>
                </c:pt>
                <c:pt idx="6">
                  <c:v>0.1169465792199032</c:v>
                </c:pt>
                <c:pt idx="7">
                  <c:v>0.11692571517535279</c:v>
                </c:pt>
                <c:pt idx="8">
                  <c:v>0.11692571517535279</c:v>
                </c:pt>
                <c:pt idx="9">
                  <c:v>0.11689094176776876</c:v>
                </c:pt>
                <c:pt idx="10">
                  <c:v>0.11630327117959879</c:v>
                </c:pt>
                <c:pt idx="11">
                  <c:v>0.11628936181656518</c:v>
                </c:pt>
                <c:pt idx="12">
                  <c:v>0.11602856125968501</c:v>
                </c:pt>
                <c:pt idx="13">
                  <c:v>0.11595553710375857</c:v>
                </c:pt>
                <c:pt idx="14">
                  <c:v>0.1158581715625233</c:v>
                </c:pt>
                <c:pt idx="15">
                  <c:v>0.11580253411038888</c:v>
                </c:pt>
                <c:pt idx="16">
                  <c:v>0.11575037399901283</c:v>
                </c:pt>
                <c:pt idx="17">
                  <c:v>0.11571907793218722</c:v>
                </c:pt>
                <c:pt idx="18">
                  <c:v>0.11569125920612</c:v>
                </c:pt>
                <c:pt idx="19">
                  <c:v>0.11561823505019356</c:v>
                </c:pt>
                <c:pt idx="20">
                  <c:v>0.11288156787333101</c:v>
                </c:pt>
                <c:pt idx="21">
                  <c:v>0.11273551956147812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74-4702-80D2-90D2F5297E3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-1204</c:v>
                </c:pt>
                <c:pt idx="1">
                  <c:v>-1204</c:v>
                </c:pt>
                <c:pt idx="2">
                  <c:v>-1201</c:v>
                </c:pt>
                <c:pt idx="3">
                  <c:v>-1201</c:v>
                </c:pt>
                <c:pt idx="4">
                  <c:v>-1196</c:v>
                </c:pt>
                <c:pt idx="5">
                  <c:v>-1180</c:v>
                </c:pt>
                <c:pt idx="6">
                  <c:v>-1169</c:v>
                </c:pt>
                <c:pt idx="7">
                  <c:v>-1163</c:v>
                </c:pt>
                <c:pt idx="8">
                  <c:v>-1163</c:v>
                </c:pt>
                <c:pt idx="9">
                  <c:v>-1153</c:v>
                </c:pt>
                <c:pt idx="10">
                  <c:v>-984</c:v>
                </c:pt>
                <c:pt idx="11">
                  <c:v>-980</c:v>
                </c:pt>
                <c:pt idx="12">
                  <c:v>-905</c:v>
                </c:pt>
                <c:pt idx="13">
                  <c:v>-884</c:v>
                </c:pt>
                <c:pt idx="14">
                  <c:v>-856</c:v>
                </c:pt>
                <c:pt idx="15">
                  <c:v>-840</c:v>
                </c:pt>
                <c:pt idx="16">
                  <c:v>-825</c:v>
                </c:pt>
                <c:pt idx="17">
                  <c:v>-816</c:v>
                </c:pt>
                <c:pt idx="18">
                  <c:v>-808</c:v>
                </c:pt>
                <c:pt idx="19">
                  <c:v>-787</c:v>
                </c:pt>
                <c:pt idx="20">
                  <c:v>0</c:v>
                </c:pt>
                <c:pt idx="21">
                  <c:v>42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74-4702-80D2-90D2F5297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98320"/>
        <c:axId val="1"/>
      </c:scatterChart>
      <c:valAx>
        <c:axId val="721398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98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37F8A94-0A60-1EB3-DB91-797D75F59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192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7" sqref="F37"/>
    </sheetView>
  </sheetViews>
  <sheetFormatPr defaultColWidth="10.28515625" defaultRowHeight="12.75" x14ac:dyDescent="0.2"/>
  <cols>
    <col min="1" max="1" width="18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52</v>
      </c>
      <c r="F1" s="5" t="s">
        <v>48</v>
      </c>
      <c r="G1" s="6">
        <v>5.0854400000000002</v>
      </c>
      <c r="H1" s="7">
        <v>10.333399999999999</v>
      </c>
      <c r="I1" s="8">
        <v>52521.8</v>
      </c>
      <c r="J1" s="9">
        <v>22.1448</v>
      </c>
      <c r="K1" s="10" t="s">
        <v>49</v>
      </c>
      <c r="L1" s="11"/>
      <c r="M1" s="12">
        <v>52521.8</v>
      </c>
      <c r="N1" s="12">
        <v>22.1448</v>
      </c>
      <c r="O1" s="13" t="s">
        <v>49</v>
      </c>
    </row>
    <row r="2" spans="1:15" s="27" customFormat="1" ht="12.95" customHeight="1" x14ac:dyDescent="0.2">
      <c r="A2" s="27" t="s">
        <v>23</v>
      </c>
      <c r="B2" s="27" t="s">
        <v>49</v>
      </c>
      <c r="C2" s="28"/>
      <c r="D2" s="29"/>
    </row>
    <row r="3" spans="1:15" s="27" customFormat="1" ht="12.95" customHeight="1" thickBot="1" x14ac:dyDescent="0.25"/>
    <row r="4" spans="1:15" s="27" customFormat="1" ht="12.95" customHeight="1" thickTop="1" thickBot="1" x14ac:dyDescent="0.25">
      <c r="A4" s="30" t="s">
        <v>0</v>
      </c>
      <c r="C4" s="31">
        <v>25859.588</v>
      </c>
      <c r="D4" s="32">
        <v>22.145125</v>
      </c>
    </row>
    <row r="5" spans="1:15" s="27" customFormat="1" ht="12.95" customHeight="1" thickTop="1" x14ac:dyDescent="0.2">
      <c r="A5" s="33" t="s">
        <v>28</v>
      </c>
      <c r="C5" s="34">
        <v>-9.5</v>
      </c>
      <c r="D5" s="27" t="s">
        <v>29</v>
      </c>
    </row>
    <row r="6" spans="1:15" s="27" customFormat="1" ht="12.95" customHeight="1" x14ac:dyDescent="0.2">
      <c r="A6" s="30" t="s">
        <v>1</v>
      </c>
    </row>
    <row r="7" spans="1:15" s="27" customFormat="1" ht="12.95" customHeight="1" x14ac:dyDescent="0.2">
      <c r="A7" s="27" t="s">
        <v>2</v>
      </c>
      <c r="C7" s="55">
        <v>52521.8</v>
      </c>
      <c r="D7" s="8" t="s">
        <v>50</v>
      </c>
    </row>
    <row r="8" spans="1:15" s="27" customFormat="1" ht="12.95" customHeight="1" x14ac:dyDescent="0.2">
      <c r="A8" s="27" t="s">
        <v>3</v>
      </c>
      <c r="C8" s="55">
        <v>22.1448</v>
      </c>
      <c r="D8" s="36" t="s">
        <v>50</v>
      </c>
    </row>
    <row r="9" spans="1:15" s="27" customFormat="1" ht="12.95" customHeight="1" x14ac:dyDescent="0.2">
      <c r="A9" s="37" t="s">
        <v>32</v>
      </c>
      <c r="C9" s="38">
        <v>21</v>
      </c>
      <c r="D9" s="39" t="str">
        <f>"F"&amp;C9</f>
        <v>F21</v>
      </c>
      <c r="E9" s="40" t="str">
        <f>"G"&amp;C9</f>
        <v>G21</v>
      </c>
    </row>
    <row r="10" spans="1:15" s="27" customFormat="1" ht="12.95" customHeight="1" thickBot="1" x14ac:dyDescent="0.25">
      <c r="C10" s="41" t="s">
        <v>19</v>
      </c>
      <c r="D10" s="41" t="s">
        <v>20</v>
      </c>
    </row>
    <row r="11" spans="1:15" s="27" customFormat="1" ht="12.95" customHeight="1" x14ac:dyDescent="0.2">
      <c r="A11" s="27" t="s">
        <v>15</v>
      </c>
      <c r="C11" s="40">
        <f ca="1">INTERCEPT(INDIRECT($E$9):G992,INDIRECT($D$9):F992)</f>
        <v>0.11288156787333101</v>
      </c>
      <c r="D11" s="29"/>
    </row>
    <row r="12" spans="1:15" s="27" customFormat="1" ht="12.95" customHeight="1" x14ac:dyDescent="0.2">
      <c r="A12" s="27" t="s">
        <v>16</v>
      </c>
      <c r="C12" s="40">
        <f ca="1">SLOPE(INDIRECT($E$9):G992,INDIRECT($D$9):F992)</f>
        <v>-3.4773407584022182E-6</v>
      </c>
      <c r="D12" s="29"/>
    </row>
    <row r="13" spans="1:15" s="27" customFormat="1" ht="12.95" customHeight="1" x14ac:dyDescent="0.2">
      <c r="A13" s="27" t="s">
        <v>18</v>
      </c>
      <c r="C13" s="29" t="s">
        <v>13</v>
      </c>
    </row>
    <row r="14" spans="1:15" s="27" customFormat="1" ht="12.95" customHeight="1" x14ac:dyDescent="0.2"/>
    <row r="15" spans="1:15" s="27" customFormat="1" ht="12.95" customHeight="1" x14ac:dyDescent="0.2">
      <c r="A15" s="42" t="s">
        <v>17</v>
      </c>
      <c r="C15" s="43">
        <f ca="1">(C7+C11)+(C8+C12)*INT(MAX(F21:F3533))</f>
        <v>53451.994335519565</v>
      </c>
      <c r="E15" s="44" t="s">
        <v>34</v>
      </c>
      <c r="F15" s="45">
        <v>1</v>
      </c>
    </row>
    <row r="16" spans="1:15" s="27" customFormat="1" ht="12.95" customHeight="1" x14ac:dyDescent="0.2">
      <c r="A16" s="30" t="s">
        <v>4</v>
      </c>
      <c r="C16" s="46">
        <f ca="1">+C8+C12</f>
        <v>22.144796522659242</v>
      </c>
      <c r="E16" s="44" t="s">
        <v>30</v>
      </c>
      <c r="F16" s="46">
        <f ca="1">NOW()+15018.5+$C$5/24</f>
        <v>60368.803937615739</v>
      </c>
    </row>
    <row r="17" spans="1:21" s="27" customFormat="1" ht="12.95" customHeight="1" thickBot="1" x14ac:dyDescent="0.25">
      <c r="A17" s="44" t="s">
        <v>27</v>
      </c>
      <c r="C17" s="27">
        <f>COUNT(C21:C2191)</f>
        <v>22</v>
      </c>
      <c r="E17" s="44" t="s">
        <v>35</v>
      </c>
      <c r="F17" s="47">
        <f ca="1">ROUND(2*(F16-$C$7)/$C$8,0)/2+F15</f>
        <v>355.5</v>
      </c>
    </row>
    <row r="18" spans="1:21" s="27" customFormat="1" ht="12.95" customHeight="1" thickTop="1" thickBot="1" x14ac:dyDescent="0.25">
      <c r="A18" s="30" t="s">
        <v>5</v>
      </c>
      <c r="C18" s="48">
        <f ca="1">+C15</f>
        <v>53451.994335519565</v>
      </c>
      <c r="D18" s="49">
        <f ca="1">+C16</f>
        <v>22.144796522659242</v>
      </c>
      <c r="E18" s="44" t="s">
        <v>36</v>
      </c>
      <c r="F18" s="40">
        <f ca="1">ROUND(2*(F16-$C$15)/$C$16,0)/2+F15</f>
        <v>313.5</v>
      </c>
    </row>
    <row r="19" spans="1:21" s="27" customFormat="1" ht="12.95" customHeight="1" thickTop="1" x14ac:dyDescent="0.2">
      <c r="E19" s="44" t="s">
        <v>31</v>
      </c>
      <c r="F19" s="50">
        <f ca="1">+$C$15+$C$16*F18-15018.5-$C$5/24</f>
        <v>45376.28387870657</v>
      </c>
    </row>
    <row r="20" spans="1:21" s="27" customFormat="1" ht="12.95" customHeight="1" thickBot="1" x14ac:dyDescent="0.25">
      <c r="A20" s="41" t="s">
        <v>6</v>
      </c>
      <c r="B20" s="41" t="s">
        <v>7</v>
      </c>
      <c r="C20" s="41" t="s">
        <v>8</v>
      </c>
      <c r="D20" s="41" t="s">
        <v>12</v>
      </c>
      <c r="E20" s="41" t="s">
        <v>9</v>
      </c>
      <c r="F20" s="41" t="s">
        <v>10</v>
      </c>
      <c r="G20" s="41" t="s">
        <v>11</v>
      </c>
      <c r="H20" s="51" t="s">
        <v>37</v>
      </c>
      <c r="I20" s="51" t="s">
        <v>38</v>
      </c>
      <c r="J20" s="51" t="s">
        <v>39</v>
      </c>
      <c r="K20" s="51" t="s">
        <v>40</v>
      </c>
      <c r="L20" s="51" t="s">
        <v>24</v>
      </c>
      <c r="M20" s="51" t="s">
        <v>25</v>
      </c>
      <c r="N20" s="51" t="s">
        <v>26</v>
      </c>
      <c r="O20" s="51" t="s">
        <v>22</v>
      </c>
      <c r="P20" s="52" t="s">
        <v>21</v>
      </c>
      <c r="Q20" s="41" t="s">
        <v>14</v>
      </c>
      <c r="U20" s="53" t="s">
        <v>33</v>
      </c>
    </row>
    <row r="21" spans="1:21" s="27" customFormat="1" ht="12.95" customHeight="1" x14ac:dyDescent="0.2">
      <c r="A21" s="27" t="s">
        <v>51</v>
      </c>
      <c r="B21" s="29"/>
      <c r="C21" s="35">
        <v>25859.588</v>
      </c>
      <c r="D21" s="35"/>
      <c r="E21" s="27">
        <f t="shared" ref="E21:E42" si="0">+(C21-C$7)/C$8</f>
        <v>-1203.9942559878618</v>
      </c>
      <c r="F21" s="27">
        <f t="shared" ref="F21:F42" si="1">ROUND(2*E21,0)/2</f>
        <v>-1204</v>
      </c>
      <c r="G21" s="27">
        <f t="shared" ref="G21:G42" si="2">+C21-(C$7+F21*C$8)</f>
        <v>0.12719999999535503</v>
      </c>
      <c r="H21" s="27">
        <f t="shared" ref="H21:H30" si="3">+G21</f>
        <v>0.12719999999535503</v>
      </c>
      <c r="O21" s="27">
        <f t="shared" ref="O21:O42" ca="1" si="4">+C$11+C$12*$F21</f>
        <v>0.11706828614644728</v>
      </c>
      <c r="Q21" s="54">
        <f t="shared" ref="Q21:Q42" si="5">+C21-15018.5</f>
        <v>10841.088</v>
      </c>
    </row>
    <row r="22" spans="1:21" s="27" customFormat="1" ht="12.95" customHeight="1" x14ac:dyDescent="0.2">
      <c r="A22" s="27" t="s">
        <v>58</v>
      </c>
      <c r="B22" s="29" t="s">
        <v>121</v>
      </c>
      <c r="C22" s="35">
        <v>25859.606</v>
      </c>
      <c r="D22" s="35"/>
      <c r="E22" s="27">
        <f t="shared" si="0"/>
        <v>-1203.9934431559554</v>
      </c>
      <c r="F22" s="27">
        <f t="shared" si="1"/>
        <v>-1204</v>
      </c>
      <c r="G22" s="27">
        <f t="shared" si="2"/>
        <v>0.14519999999538413</v>
      </c>
      <c r="H22" s="27">
        <f t="shared" si="3"/>
        <v>0.14519999999538413</v>
      </c>
      <c r="O22" s="27">
        <f t="shared" ca="1" si="4"/>
        <v>0.11706828614644728</v>
      </c>
      <c r="Q22" s="54">
        <f t="shared" si="5"/>
        <v>10841.106</v>
      </c>
    </row>
    <row r="23" spans="1:21" s="27" customFormat="1" ht="12.95" customHeight="1" x14ac:dyDescent="0.2">
      <c r="A23" s="27" t="s">
        <v>58</v>
      </c>
      <c r="B23" s="29" t="s">
        <v>121</v>
      </c>
      <c r="C23" s="35">
        <v>25925.492999999999</v>
      </c>
      <c r="D23" s="35"/>
      <c r="E23" s="27">
        <f t="shared" si="0"/>
        <v>-1201.0181622773746</v>
      </c>
      <c r="F23" s="27">
        <f t="shared" si="1"/>
        <v>-1201</v>
      </c>
      <c r="G23" s="27">
        <f t="shared" si="2"/>
        <v>-0.40220000000408618</v>
      </c>
      <c r="H23" s="27">
        <f t="shared" si="3"/>
        <v>-0.40220000000408618</v>
      </c>
      <c r="O23" s="27">
        <f t="shared" ca="1" si="4"/>
        <v>0.11705785412417208</v>
      </c>
      <c r="Q23" s="54">
        <f t="shared" si="5"/>
        <v>10906.992999999999</v>
      </c>
    </row>
    <row r="24" spans="1:21" s="27" customFormat="1" ht="12.95" customHeight="1" x14ac:dyDescent="0.2">
      <c r="A24" s="27" t="s">
        <v>58</v>
      </c>
      <c r="B24" s="29" t="s">
        <v>121</v>
      </c>
      <c r="C24" s="35">
        <v>25925.614000000001</v>
      </c>
      <c r="D24" s="35"/>
      <c r="E24" s="27">
        <f t="shared" si="0"/>
        <v>-1201.0126982406705</v>
      </c>
      <c r="F24" s="27">
        <f t="shared" si="1"/>
        <v>-1201</v>
      </c>
      <c r="G24" s="27">
        <f t="shared" si="2"/>
        <v>-0.28120000000126311</v>
      </c>
      <c r="H24" s="27">
        <f t="shared" si="3"/>
        <v>-0.28120000000126311</v>
      </c>
      <c r="O24" s="27">
        <f t="shared" ca="1" si="4"/>
        <v>0.11705785412417208</v>
      </c>
      <c r="Q24" s="54">
        <f t="shared" si="5"/>
        <v>10907.114000000001</v>
      </c>
    </row>
    <row r="25" spans="1:21" s="27" customFormat="1" ht="12.95" customHeight="1" x14ac:dyDescent="0.2">
      <c r="A25" s="27" t="s">
        <v>58</v>
      </c>
      <c r="B25" s="29" t="s">
        <v>121</v>
      </c>
      <c r="C25" s="35">
        <v>26037.344000000001</v>
      </c>
      <c r="D25" s="35"/>
      <c r="E25" s="27">
        <f t="shared" si="0"/>
        <v>-1195.9672699685707</v>
      </c>
      <c r="F25" s="27">
        <f t="shared" si="1"/>
        <v>-1196</v>
      </c>
      <c r="G25" s="27">
        <f t="shared" si="2"/>
        <v>0.72479999999632128</v>
      </c>
      <c r="H25" s="27">
        <f t="shared" si="3"/>
        <v>0.72479999999632128</v>
      </c>
      <c r="O25" s="27">
        <f t="shared" ca="1" si="4"/>
        <v>0.11704046742038006</v>
      </c>
      <c r="Q25" s="54">
        <f t="shared" si="5"/>
        <v>11018.844000000001</v>
      </c>
    </row>
    <row r="26" spans="1:21" s="27" customFormat="1" ht="12.95" customHeight="1" x14ac:dyDescent="0.2">
      <c r="A26" s="27" t="s">
        <v>58</v>
      </c>
      <c r="B26" s="29" t="s">
        <v>121</v>
      </c>
      <c r="C26" s="35">
        <v>26391.272000000001</v>
      </c>
      <c r="D26" s="35"/>
      <c r="E26" s="27">
        <f t="shared" si="0"/>
        <v>-1179.984827137748</v>
      </c>
      <c r="F26" s="27">
        <f t="shared" si="1"/>
        <v>-1180</v>
      </c>
      <c r="G26" s="27">
        <f t="shared" si="2"/>
        <v>0.33599999999933061</v>
      </c>
      <c r="H26" s="27">
        <f t="shared" si="3"/>
        <v>0.33599999999933061</v>
      </c>
      <c r="O26" s="27">
        <f t="shared" ca="1" si="4"/>
        <v>0.11698482996824562</v>
      </c>
      <c r="Q26" s="54">
        <f t="shared" si="5"/>
        <v>11372.772000000001</v>
      </c>
    </row>
    <row r="27" spans="1:21" s="27" customFormat="1" ht="12.95" customHeight="1" x14ac:dyDescent="0.2">
      <c r="A27" s="27" t="s">
        <v>58</v>
      </c>
      <c r="B27" s="29" t="s">
        <v>121</v>
      </c>
      <c r="C27" s="35">
        <v>26634.602999999999</v>
      </c>
      <c r="D27" s="35"/>
      <c r="E27" s="27">
        <f t="shared" si="0"/>
        <v>-1168.9966493262527</v>
      </c>
      <c r="F27" s="27">
        <f t="shared" si="1"/>
        <v>-1169</v>
      </c>
      <c r="G27" s="27">
        <f t="shared" si="2"/>
        <v>7.4199999995471444E-2</v>
      </c>
      <c r="H27" s="27">
        <f t="shared" si="3"/>
        <v>7.4199999995471444E-2</v>
      </c>
      <c r="O27" s="27">
        <f t="shared" ca="1" si="4"/>
        <v>0.1169465792199032</v>
      </c>
      <c r="Q27" s="54">
        <f t="shared" si="5"/>
        <v>11616.102999999999</v>
      </c>
    </row>
    <row r="28" spans="1:21" s="27" customFormat="1" ht="12.95" customHeight="1" x14ac:dyDescent="0.2">
      <c r="A28" s="27" t="s">
        <v>58</v>
      </c>
      <c r="B28" s="29" t="s">
        <v>121</v>
      </c>
      <c r="C28" s="35">
        <v>26767.277999999998</v>
      </c>
      <c r="D28" s="35"/>
      <c r="E28" s="27">
        <f t="shared" si="0"/>
        <v>-1163.0054008164448</v>
      </c>
      <c r="F28" s="27">
        <f t="shared" si="1"/>
        <v>-1163</v>
      </c>
      <c r="G28" s="27">
        <f t="shared" si="2"/>
        <v>-0.11960000000544824</v>
      </c>
      <c r="H28" s="27">
        <f t="shared" si="3"/>
        <v>-0.11960000000544824</v>
      </c>
      <c r="O28" s="27">
        <f t="shared" ca="1" si="4"/>
        <v>0.11692571517535279</v>
      </c>
      <c r="Q28" s="54">
        <f t="shared" si="5"/>
        <v>11748.777999999998</v>
      </c>
    </row>
    <row r="29" spans="1:21" s="27" customFormat="1" ht="12.95" customHeight="1" x14ac:dyDescent="0.2">
      <c r="A29" s="27" t="s">
        <v>58</v>
      </c>
      <c r="B29" s="29" t="s">
        <v>121</v>
      </c>
      <c r="C29" s="35">
        <v>26767.368999999999</v>
      </c>
      <c r="D29" s="35"/>
      <c r="E29" s="27">
        <f t="shared" si="0"/>
        <v>-1163.0012914995848</v>
      </c>
      <c r="F29" s="27">
        <f t="shared" si="1"/>
        <v>-1163</v>
      </c>
      <c r="G29" s="27">
        <f t="shared" si="2"/>
        <v>-2.8600000005098991E-2</v>
      </c>
      <c r="H29" s="27">
        <f t="shared" si="3"/>
        <v>-2.8600000005098991E-2</v>
      </c>
      <c r="O29" s="27">
        <f t="shared" ca="1" si="4"/>
        <v>0.11692571517535279</v>
      </c>
      <c r="Q29" s="54">
        <f t="shared" si="5"/>
        <v>11748.868999999999</v>
      </c>
    </row>
    <row r="30" spans="1:21" s="27" customFormat="1" ht="12.95" customHeight="1" x14ac:dyDescent="0.2">
      <c r="A30" s="27" t="s">
        <v>58</v>
      </c>
      <c r="B30" s="29" t="s">
        <v>121</v>
      </c>
      <c r="C30" s="35">
        <v>26988.550999999999</v>
      </c>
      <c r="D30" s="35"/>
      <c r="E30" s="27">
        <f t="shared" si="0"/>
        <v>-1153.0133033488676</v>
      </c>
      <c r="F30" s="27">
        <f t="shared" si="1"/>
        <v>-1153</v>
      </c>
      <c r="G30" s="27">
        <f t="shared" si="2"/>
        <v>-0.29460000000472064</v>
      </c>
      <c r="H30" s="27">
        <f t="shared" si="3"/>
        <v>-0.29460000000472064</v>
      </c>
      <c r="O30" s="27">
        <f t="shared" ca="1" si="4"/>
        <v>0.11689094176776876</v>
      </c>
      <c r="Q30" s="54">
        <f t="shared" si="5"/>
        <v>11970.050999999999</v>
      </c>
    </row>
    <row r="31" spans="1:21" s="27" customFormat="1" ht="12.95" customHeight="1" x14ac:dyDescent="0.2">
      <c r="A31" s="27" t="s">
        <v>87</v>
      </c>
      <c r="B31" s="29" t="s">
        <v>121</v>
      </c>
      <c r="C31" s="35">
        <v>30731.397000000001</v>
      </c>
      <c r="D31" s="35"/>
      <c r="E31" s="27">
        <f t="shared" si="0"/>
        <v>-983.99637838228398</v>
      </c>
      <c r="F31" s="27">
        <f t="shared" si="1"/>
        <v>-984</v>
      </c>
      <c r="G31" s="27">
        <f t="shared" si="2"/>
        <v>8.0199999996693805E-2</v>
      </c>
      <c r="I31" s="27">
        <f t="shared" ref="I31:I42" si="6">+G31</f>
        <v>8.0199999996693805E-2</v>
      </c>
      <c r="O31" s="27">
        <f t="shared" ca="1" si="4"/>
        <v>0.11630327117959879</v>
      </c>
      <c r="Q31" s="54">
        <f t="shared" si="5"/>
        <v>15712.897000000001</v>
      </c>
    </row>
    <row r="32" spans="1:21" s="27" customFormat="1" ht="12.95" customHeight="1" x14ac:dyDescent="0.2">
      <c r="A32" s="27" t="s">
        <v>87</v>
      </c>
      <c r="B32" s="29" t="s">
        <v>121</v>
      </c>
      <c r="C32" s="35">
        <v>30820.333999999999</v>
      </c>
      <c r="D32" s="35"/>
      <c r="E32" s="27">
        <f t="shared" si="0"/>
        <v>-979.98022109027875</v>
      </c>
      <c r="F32" s="27">
        <f t="shared" si="1"/>
        <v>-980</v>
      </c>
      <c r="G32" s="27">
        <f t="shared" si="2"/>
        <v>0.4379999999946449</v>
      </c>
      <c r="I32" s="27">
        <f t="shared" si="6"/>
        <v>0.4379999999946449</v>
      </c>
      <c r="O32" s="27">
        <f t="shared" ca="1" si="4"/>
        <v>0.11628936181656518</v>
      </c>
      <c r="Q32" s="54">
        <f t="shared" si="5"/>
        <v>15801.833999999999</v>
      </c>
    </row>
    <row r="33" spans="1:17" s="27" customFormat="1" ht="12.95" customHeight="1" x14ac:dyDescent="0.2">
      <c r="A33" s="27" t="s">
        <v>87</v>
      </c>
      <c r="B33" s="29" t="s">
        <v>121</v>
      </c>
      <c r="C33" s="35">
        <v>32480.580999999998</v>
      </c>
      <c r="D33" s="35"/>
      <c r="E33" s="27">
        <f t="shared" si="0"/>
        <v>-905.00790253242315</v>
      </c>
      <c r="F33" s="27">
        <f t="shared" si="1"/>
        <v>-905</v>
      </c>
      <c r="G33" s="27">
        <f t="shared" si="2"/>
        <v>-0.17500000000291038</v>
      </c>
      <c r="I33" s="27">
        <f t="shared" si="6"/>
        <v>-0.17500000000291038</v>
      </c>
      <c r="O33" s="27">
        <f t="shared" ca="1" si="4"/>
        <v>0.11602856125968501</v>
      </c>
      <c r="Q33" s="54">
        <f t="shared" si="5"/>
        <v>17462.080999999998</v>
      </c>
    </row>
    <row r="34" spans="1:17" s="27" customFormat="1" ht="12.95" customHeight="1" x14ac:dyDescent="0.2">
      <c r="A34" s="27" t="s">
        <v>87</v>
      </c>
      <c r="B34" s="29" t="s">
        <v>121</v>
      </c>
      <c r="C34" s="35">
        <v>32946.36</v>
      </c>
      <c r="D34" s="35"/>
      <c r="E34" s="27">
        <f t="shared" si="0"/>
        <v>-883.97456739279664</v>
      </c>
      <c r="F34" s="27">
        <f t="shared" si="1"/>
        <v>-884</v>
      </c>
      <c r="G34" s="27">
        <f t="shared" si="2"/>
        <v>0.56319999999686843</v>
      </c>
      <c r="I34" s="27">
        <f t="shared" si="6"/>
        <v>0.56319999999686843</v>
      </c>
      <c r="O34" s="27">
        <f t="shared" ca="1" si="4"/>
        <v>0.11595553710375857</v>
      </c>
      <c r="Q34" s="54">
        <f t="shared" si="5"/>
        <v>17927.86</v>
      </c>
    </row>
    <row r="35" spans="1:17" s="27" customFormat="1" ht="12.95" customHeight="1" x14ac:dyDescent="0.2">
      <c r="A35" s="27" t="s">
        <v>87</v>
      </c>
      <c r="B35" s="29" t="s">
        <v>121</v>
      </c>
      <c r="C35" s="35">
        <v>33566.483</v>
      </c>
      <c r="D35" s="35"/>
      <c r="E35" s="27">
        <f t="shared" si="0"/>
        <v>-855.97146960008683</v>
      </c>
      <c r="F35" s="27">
        <f t="shared" si="1"/>
        <v>-856</v>
      </c>
      <c r="G35" s="27">
        <f t="shared" si="2"/>
        <v>0.63179999999556458</v>
      </c>
      <c r="I35" s="27">
        <f t="shared" si="6"/>
        <v>0.63179999999556458</v>
      </c>
      <c r="O35" s="27">
        <f t="shared" ca="1" si="4"/>
        <v>0.1158581715625233</v>
      </c>
      <c r="Q35" s="54">
        <f t="shared" si="5"/>
        <v>18547.983</v>
      </c>
    </row>
    <row r="36" spans="1:17" s="27" customFormat="1" ht="12.95" customHeight="1" x14ac:dyDescent="0.2">
      <c r="A36" s="27" t="s">
        <v>87</v>
      </c>
      <c r="B36" s="29" t="s">
        <v>121</v>
      </c>
      <c r="C36" s="35">
        <v>33920.576999999997</v>
      </c>
      <c r="D36" s="35"/>
      <c r="E36" s="27">
        <f t="shared" si="0"/>
        <v>-839.98153065279462</v>
      </c>
      <c r="F36" s="27">
        <f t="shared" si="1"/>
        <v>-840</v>
      </c>
      <c r="G36" s="27">
        <f t="shared" si="2"/>
        <v>0.4089999999923748</v>
      </c>
      <c r="I36" s="27">
        <f t="shared" si="6"/>
        <v>0.4089999999923748</v>
      </c>
      <c r="O36" s="27">
        <f t="shared" ca="1" si="4"/>
        <v>0.11580253411038888</v>
      </c>
      <c r="Q36" s="54">
        <f t="shared" si="5"/>
        <v>18902.076999999997</v>
      </c>
    </row>
    <row r="37" spans="1:17" s="27" customFormat="1" ht="12.95" customHeight="1" x14ac:dyDescent="0.2">
      <c r="A37" s="27" t="s">
        <v>87</v>
      </c>
      <c r="B37" s="29" t="s">
        <v>121</v>
      </c>
      <c r="C37" s="35">
        <v>34252.586000000003</v>
      </c>
      <c r="D37" s="35"/>
      <c r="E37" s="27">
        <f t="shared" si="0"/>
        <v>-824.98889129727968</v>
      </c>
      <c r="F37" s="27">
        <f t="shared" si="1"/>
        <v>-825</v>
      </c>
      <c r="G37" s="27">
        <f t="shared" si="2"/>
        <v>0.24599999999918509</v>
      </c>
      <c r="I37" s="27">
        <f t="shared" si="6"/>
        <v>0.24599999999918509</v>
      </c>
      <c r="O37" s="27">
        <f t="shared" ca="1" si="4"/>
        <v>0.11575037399901283</v>
      </c>
      <c r="Q37" s="54">
        <f t="shared" si="5"/>
        <v>19234.086000000003</v>
      </c>
    </row>
    <row r="38" spans="1:17" s="27" customFormat="1" ht="12.95" customHeight="1" x14ac:dyDescent="0.2">
      <c r="A38" s="27" t="s">
        <v>87</v>
      </c>
      <c r="B38" s="29" t="s">
        <v>121</v>
      </c>
      <c r="C38" s="35">
        <v>34452.400000000001</v>
      </c>
      <c r="D38" s="35"/>
      <c r="E38" s="27">
        <f t="shared" si="0"/>
        <v>-815.96582493407038</v>
      </c>
      <c r="F38" s="27">
        <f t="shared" si="1"/>
        <v>-816</v>
      </c>
      <c r="G38" s="27">
        <f t="shared" si="2"/>
        <v>0.75679999999556458</v>
      </c>
      <c r="I38" s="27">
        <f t="shared" si="6"/>
        <v>0.75679999999556458</v>
      </c>
      <c r="O38" s="27">
        <f t="shared" ca="1" si="4"/>
        <v>0.11571907793218722</v>
      </c>
      <c r="Q38" s="54">
        <f t="shared" si="5"/>
        <v>19433.900000000001</v>
      </c>
    </row>
    <row r="39" spans="1:17" s="27" customFormat="1" ht="12.95" customHeight="1" x14ac:dyDescent="0.2">
      <c r="A39" s="27" t="s">
        <v>87</v>
      </c>
      <c r="B39" s="29" t="s">
        <v>121</v>
      </c>
      <c r="C39" s="35">
        <v>34628.567000000003</v>
      </c>
      <c r="D39" s="35"/>
      <c r="E39" s="27">
        <f t="shared" si="0"/>
        <v>-808.01059390917953</v>
      </c>
      <c r="F39" s="27">
        <f t="shared" si="1"/>
        <v>-808</v>
      </c>
      <c r="G39" s="27">
        <f t="shared" si="2"/>
        <v>-0.23460000000341097</v>
      </c>
      <c r="I39" s="27">
        <f t="shared" si="6"/>
        <v>-0.23460000000341097</v>
      </c>
      <c r="O39" s="27">
        <f t="shared" ca="1" si="4"/>
        <v>0.11569125920612</v>
      </c>
      <c r="Q39" s="54">
        <f t="shared" si="5"/>
        <v>19610.067000000003</v>
      </c>
    </row>
    <row r="40" spans="1:17" s="27" customFormat="1" ht="12.95" customHeight="1" x14ac:dyDescent="0.2">
      <c r="A40" s="27" t="s">
        <v>87</v>
      </c>
      <c r="B40" s="29" t="s">
        <v>121</v>
      </c>
      <c r="C40" s="35">
        <v>35093.432000000001</v>
      </c>
      <c r="D40" s="35"/>
      <c r="E40" s="27">
        <f t="shared" si="0"/>
        <v>-787.01853256746517</v>
      </c>
      <c r="F40" s="27">
        <f t="shared" si="1"/>
        <v>-787</v>
      </c>
      <c r="G40" s="27">
        <f t="shared" si="2"/>
        <v>-0.41040000000066357</v>
      </c>
      <c r="I40" s="27">
        <f t="shared" si="6"/>
        <v>-0.41040000000066357</v>
      </c>
      <c r="O40" s="27">
        <f t="shared" ca="1" si="4"/>
        <v>0.11561823505019356</v>
      </c>
      <c r="Q40" s="54">
        <f t="shared" si="5"/>
        <v>20074.932000000001</v>
      </c>
    </row>
    <row r="41" spans="1:17" s="27" customFormat="1" ht="12.95" customHeight="1" x14ac:dyDescent="0.2">
      <c r="A41" s="27" t="s">
        <v>50</v>
      </c>
      <c r="B41" s="29"/>
      <c r="C41" s="35">
        <v>52521.8</v>
      </c>
      <c r="D41" s="35" t="s">
        <v>13</v>
      </c>
      <c r="E41" s="27">
        <f t="shared" si="0"/>
        <v>0</v>
      </c>
      <c r="F41" s="27">
        <f t="shared" si="1"/>
        <v>0</v>
      </c>
      <c r="G41" s="27">
        <f t="shared" si="2"/>
        <v>0</v>
      </c>
      <c r="I41" s="27">
        <f t="shared" si="6"/>
        <v>0</v>
      </c>
      <c r="O41" s="27">
        <f t="shared" ca="1" si="4"/>
        <v>0.11288156787333101</v>
      </c>
      <c r="Q41" s="54">
        <f t="shared" si="5"/>
        <v>37503.300000000003</v>
      </c>
    </row>
    <row r="42" spans="1:17" s="27" customFormat="1" ht="12.95" customHeight="1" x14ac:dyDescent="0.2">
      <c r="A42" s="27" t="s">
        <v>120</v>
      </c>
      <c r="B42" s="29" t="s">
        <v>121</v>
      </c>
      <c r="C42" s="35">
        <v>53451.85</v>
      </c>
      <c r="D42" s="35"/>
      <c r="E42" s="27">
        <f t="shared" si="0"/>
        <v>41.998573028430854</v>
      </c>
      <c r="F42" s="27">
        <f t="shared" si="1"/>
        <v>42</v>
      </c>
      <c r="G42" s="27">
        <f t="shared" si="2"/>
        <v>-3.1600000002072193E-2</v>
      </c>
      <c r="I42" s="27">
        <f t="shared" si="6"/>
        <v>-3.1600000002072193E-2</v>
      </c>
      <c r="O42" s="27">
        <f t="shared" ca="1" si="4"/>
        <v>0.11273551956147812</v>
      </c>
      <c r="Q42" s="54">
        <f t="shared" si="5"/>
        <v>38433.35</v>
      </c>
    </row>
    <row r="43" spans="1:17" s="27" customFormat="1" ht="12.95" customHeight="1" x14ac:dyDescent="0.2">
      <c r="B43" s="29"/>
      <c r="C43" s="35"/>
      <c r="D43" s="35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2"/>
  <sheetViews>
    <sheetView tabSelected="1" topLeftCell="A6" workbookViewId="0">
      <selection activeCell="F37" sqref="F37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4" t="s">
        <v>41</v>
      </c>
      <c r="I1" s="15" t="s">
        <v>42</v>
      </c>
      <c r="J1" s="16" t="s">
        <v>40</v>
      </c>
    </row>
    <row r="2" spans="1:16" x14ac:dyDescent="0.2">
      <c r="I2" s="17" t="s">
        <v>43</v>
      </c>
      <c r="J2" s="18" t="s">
        <v>39</v>
      </c>
    </row>
    <row r="3" spans="1:16" x14ac:dyDescent="0.2">
      <c r="A3" s="19" t="s">
        <v>44</v>
      </c>
      <c r="I3" s="17" t="s">
        <v>45</v>
      </c>
      <c r="J3" s="18" t="s">
        <v>37</v>
      </c>
    </row>
    <row r="4" spans="1:16" x14ac:dyDescent="0.2">
      <c r="I4" s="17" t="s">
        <v>46</v>
      </c>
      <c r="J4" s="18" t="s">
        <v>37</v>
      </c>
    </row>
    <row r="5" spans="1:16" ht="13.5" thickBot="1" x14ac:dyDescent="0.25">
      <c r="I5" s="20" t="s">
        <v>47</v>
      </c>
      <c r="J5" s="21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30" si="0">P11</f>
        <v> AN 252.397 </v>
      </c>
      <c r="B11" s="2" t="str">
        <f t="shared" ref="B11:B30" si="1">IF(H11=INT(H11),"I","II")</f>
        <v>I</v>
      </c>
      <c r="C11" s="3">
        <f t="shared" ref="C11:C30" si="2">1*G11</f>
        <v>25859.606</v>
      </c>
      <c r="D11" s="4" t="str">
        <f t="shared" ref="D11:D30" si="3">VLOOKUP(F11,I$1:J$5,2,FALSE)</f>
        <v>vis</v>
      </c>
      <c r="E11" s="22">
        <f>VLOOKUP(C11,Active!C$21:E$973,3,FALSE)</f>
        <v>-1203.9934431559554</v>
      </c>
      <c r="F11" s="2" t="s">
        <v>47</v>
      </c>
      <c r="G11" s="4" t="str">
        <f t="shared" ref="G11:G30" si="4">MID(I11,3,LEN(I11)-3)</f>
        <v>25859.606</v>
      </c>
      <c r="H11" s="3">
        <f t="shared" ref="H11:H30" si="5">1*K11</f>
        <v>0</v>
      </c>
      <c r="I11" s="23" t="s">
        <v>53</v>
      </c>
      <c r="J11" s="24" t="s">
        <v>54</v>
      </c>
      <c r="K11" s="23">
        <v>0</v>
      </c>
      <c r="L11" s="23" t="s">
        <v>55</v>
      </c>
      <c r="M11" s="24" t="s">
        <v>56</v>
      </c>
      <c r="N11" s="24"/>
      <c r="O11" s="25" t="s">
        <v>57</v>
      </c>
      <c r="P11" s="25" t="s">
        <v>58</v>
      </c>
    </row>
    <row r="12" spans="1:16" ht="12.75" customHeight="1" thickBot="1" x14ac:dyDescent="0.25">
      <c r="A12" s="3" t="str">
        <f t="shared" si="0"/>
        <v> AN 252.397 </v>
      </c>
      <c r="B12" s="2" t="str">
        <f t="shared" si="1"/>
        <v>I</v>
      </c>
      <c r="C12" s="3">
        <f t="shared" si="2"/>
        <v>25925.492999999999</v>
      </c>
      <c r="D12" s="4" t="str">
        <f t="shared" si="3"/>
        <v>vis</v>
      </c>
      <c r="E12" s="22">
        <f>VLOOKUP(C12,Active!C$21:E$973,3,FALSE)</f>
        <v>-1201.0181622773746</v>
      </c>
      <c r="F12" s="2" t="s">
        <v>47</v>
      </c>
      <c r="G12" s="4" t="str">
        <f t="shared" si="4"/>
        <v>25925.493</v>
      </c>
      <c r="H12" s="3">
        <f t="shared" si="5"/>
        <v>3</v>
      </c>
      <c r="I12" s="23" t="s">
        <v>59</v>
      </c>
      <c r="J12" s="24" t="s">
        <v>60</v>
      </c>
      <c r="K12" s="23">
        <v>3</v>
      </c>
      <c r="L12" s="23" t="s">
        <v>61</v>
      </c>
      <c r="M12" s="24" t="s">
        <v>56</v>
      </c>
      <c r="N12" s="24"/>
      <c r="O12" s="25" t="s">
        <v>57</v>
      </c>
      <c r="P12" s="25" t="s">
        <v>58</v>
      </c>
    </row>
    <row r="13" spans="1:16" ht="12.75" customHeight="1" thickBot="1" x14ac:dyDescent="0.25">
      <c r="A13" s="3" t="str">
        <f t="shared" si="0"/>
        <v> AN 252.397 </v>
      </c>
      <c r="B13" s="2" t="str">
        <f t="shared" si="1"/>
        <v>I</v>
      </c>
      <c r="C13" s="3">
        <f t="shared" si="2"/>
        <v>25925.614000000001</v>
      </c>
      <c r="D13" s="4" t="str">
        <f t="shared" si="3"/>
        <v>vis</v>
      </c>
      <c r="E13" s="22">
        <f>VLOOKUP(C13,Active!C$21:E$973,3,FALSE)</f>
        <v>-1201.0126982406705</v>
      </c>
      <c r="F13" s="2" t="s">
        <v>47</v>
      </c>
      <c r="G13" s="4" t="str">
        <f t="shared" si="4"/>
        <v>25925.614</v>
      </c>
      <c r="H13" s="3">
        <f t="shared" si="5"/>
        <v>3</v>
      </c>
      <c r="I13" s="23" t="s">
        <v>62</v>
      </c>
      <c r="J13" s="24" t="s">
        <v>63</v>
      </c>
      <c r="K13" s="23">
        <v>3</v>
      </c>
      <c r="L13" s="23" t="s">
        <v>64</v>
      </c>
      <c r="M13" s="24" t="s">
        <v>56</v>
      </c>
      <c r="N13" s="24"/>
      <c r="O13" s="25" t="s">
        <v>57</v>
      </c>
      <c r="P13" s="25" t="s">
        <v>58</v>
      </c>
    </row>
    <row r="14" spans="1:16" ht="12.75" customHeight="1" thickBot="1" x14ac:dyDescent="0.25">
      <c r="A14" s="3" t="str">
        <f t="shared" si="0"/>
        <v> AN 252.397 </v>
      </c>
      <c r="B14" s="2" t="str">
        <f t="shared" si="1"/>
        <v>I</v>
      </c>
      <c r="C14" s="3">
        <f t="shared" si="2"/>
        <v>26037.344000000001</v>
      </c>
      <c r="D14" s="4" t="str">
        <f t="shared" si="3"/>
        <v>vis</v>
      </c>
      <c r="E14" s="22">
        <f>VLOOKUP(C14,Active!C$21:E$973,3,FALSE)</f>
        <v>-1195.9672699685707</v>
      </c>
      <c r="F14" s="2" t="s">
        <v>47</v>
      </c>
      <c r="G14" s="4" t="str">
        <f t="shared" si="4"/>
        <v>26037.344</v>
      </c>
      <c r="H14" s="3">
        <f t="shared" si="5"/>
        <v>8</v>
      </c>
      <c r="I14" s="23" t="s">
        <v>65</v>
      </c>
      <c r="J14" s="24" t="s">
        <v>66</v>
      </c>
      <c r="K14" s="23">
        <v>8</v>
      </c>
      <c r="L14" s="23" t="s">
        <v>67</v>
      </c>
      <c r="M14" s="24" t="s">
        <v>56</v>
      </c>
      <c r="N14" s="24"/>
      <c r="O14" s="25" t="s">
        <v>57</v>
      </c>
      <c r="P14" s="25" t="s">
        <v>58</v>
      </c>
    </row>
    <row r="15" spans="1:16" ht="12.75" customHeight="1" thickBot="1" x14ac:dyDescent="0.25">
      <c r="A15" s="3" t="str">
        <f t="shared" si="0"/>
        <v> AN 252.397 </v>
      </c>
      <c r="B15" s="2" t="str">
        <f t="shared" si="1"/>
        <v>I</v>
      </c>
      <c r="C15" s="3">
        <f t="shared" si="2"/>
        <v>26391.272000000001</v>
      </c>
      <c r="D15" s="4" t="str">
        <f t="shared" si="3"/>
        <v>vis</v>
      </c>
      <c r="E15" s="22">
        <f>VLOOKUP(C15,Active!C$21:E$973,3,FALSE)</f>
        <v>-1179.984827137748</v>
      </c>
      <c r="F15" s="2" t="s">
        <v>47</v>
      </c>
      <c r="G15" s="4" t="str">
        <f t="shared" si="4"/>
        <v>26391.272</v>
      </c>
      <c r="H15" s="3">
        <f t="shared" si="5"/>
        <v>24</v>
      </c>
      <c r="I15" s="23" t="s">
        <v>68</v>
      </c>
      <c r="J15" s="24" t="s">
        <v>69</v>
      </c>
      <c r="K15" s="23">
        <v>24</v>
      </c>
      <c r="L15" s="23" t="s">
        <v>70</v>
      </c>
      <c r="M15" s="24" t="s">
        <v>56</v>
      </c>
      <c r="N15" s="24"/>
      <c r="O15" s="25" t="s">
        <v>57</v>
      </c>
      <c r="P15" s="25" t="s">
        <v>58</v>
      </c>
    </row>
    <row r="16" spans="1:16" ht="12.75" customHeight="1" thickBot="1" x14ac:dyDescent="0.25">
      <c r="A16" s="3" t="str">
        <f t="shared" si="0"/>
        <v> AN 252.397 </v>
      </c>
      <c r="B16" s="2" t="str">
        <f t="shared" si="1"/>
        <v>I</v>
      </c>
      <c r="C16" s="3">
        <f t="shared" si="2"/>
        <v>26634.602999999999</v>
      </c>
      <c r="D16" s="4" t="str">
        <f t="shared" si="3"/>
        <v>vis</v>
      </c>
      <c r="E16" s="22">
        <f>VLOOKUP(C16,Active!C$21:E$973,3,FALSE)</f>
        <v>-1168.9966493262527</v>
      </c>
      <c r="F16" s="2" t="s">
        <v>47</v>
      </c>
      <c r="G16" s="4" t="str">
        <f t="shared" si="4"/>
        <v>26634.603</v>
      </c>
      <c r="H16" s="3">
        <f t="shared" si="5"/>
        <v>35</v>
      </c>
      <c r="I16" s="23" t="s">
        <v>71</v>
      </c>
      <c r="J16" s="24" t="s">
        <v>72</v>
      </c>
      <c r="K16" s="23">
        <v>35</v>
      </c>
      <c r="L16" s="23" t="s">
        <v>73</v>
      </c>
      <c r="M16" s="24" t="s">
        <v>56</v>
      </c>
      <c r="N16" s="24"/>
      <c r="O16" s="25" t="s">
        <v>57</v>
      </c>
      <c r="P16" s="25" t="s">
        <v>58</v>
      </c>
    </row>
    <row r="17" spans="1:16" ht="12.75" customHeight="1" thickBot="1" x14ac:dyDescent="0.25">
      <c r="A17" s="3" t="str">
        <f t="shared" si="0"/>
        <v> AN 252.397 </v>
      </c>
      <c r="B17" s="2" t="str">
        <f t="shared" si="1"/>
        <v>I</v>
      </c>
      <c r="C17" s="3">
        <f t="shared" si="2"/>
        <v>26767.277999999998</v>
      </c>
      <c r="D17" s="4" t="str">
        <f t="shared" si="3"/>
        <v>vis</v>
      </c>
      <c r="E17" s="22">
        <f>VLOOKUP(C17,Active!C$21:E$973,3,FALSE)</f>
        <v>-1163.0054008164448</v>
      </c>
      <c r="F17" s="2" t="s">
        <v>47</v>
      </c>
      <c r="G17" s="4" t="str">
        <f t="shared" si="4"/>
        <v>26767.278</v>
      </c>
      <c r="H17" s="3">
        <f t="shared" si="5"/>
        <v>41</v>
      </c>
      <c r="I17" s="23" t="s">
        <v>74</v>
      </c>
      <c r="J17" s="24" t="s">
        <v>75</v>
      </c>
      <c r="K17" s="23">
        <v>41</v>
      </c>
      <c r="L17" s="23" t="s">
        <v>76</v>
      </c>
      <c r="M17" s="24" t="s">
        <v>56</v>
      </c>
      <c r="N17" s="24"/>
      <c r="O17" s="25" t="s">
        <v>57</v>
      </c>
      <c r="P17" s="25" t="s">
        <v>58</v>
      </c>
    </row>
    <row r="18" spans="1:16" ht="12.75" customHeight="1" thickBot="1" x14ac:dyDescent="0.25">
      <c r="A18" s="3" t="str">
        <f t="shared" si="0"/>
        <v> AN 252.397 </v>
      </c>
      <c r="B18" s="2" t="str">
        <f t="shared" si="1"/>
        <v>I</v>
      </c>
      <c r="C18" s="3">
        <f t="shared" si="2"/>
        <v>26767.368999999999</v>
      </c>
      <c r="D18" s="4" t="str">
        <f t="shared" si="3"/>
        <v>vis</v>
      </c>
      <c r="E18" s="22">
        <f>VLOOKUP(C18,Active!C$21:E$973,3,FALSE)</f>
        <v>-1163.0012914995848</v>
      </c>
      <c r="F18" s="2" t="s">
        <v>47</v>
      </c>
      <c r="G18" s="4" t="str">
        <f t="shared" si="4"/>
        <v>26767.369</v>
      </c>
      <c r="H18" s="3">
        <f t="shared" si="5"/>
        <v>41</v>
      </c>
      <c r="I18" s="23" t="s">
        <v>77</v>
      </c>
      <c r="J18" s="24" t="s">
        <v>78</v>
      </c>
      <c r="K18" s="23">
        <v>41</v>
      </c>
      <c r="L18" s="23" t="s">
        <v>79</v>
      </c>
      <c r="M18" s="24" t="s">
        <v>56</v>
      </c>
      <c r="N18" s="24"/>
      <c r="O18" s="25" t="s">
        <v>57</v>
      </c>
      <c r="P18" s="25" t="s">
        <v>58</v>
      </c>
    </row>
    <row r="19" spans="1:16" ht="12.75" customHeight="1" thickBot="1" x14ac:dyDescent="0.25">
      <c r="A19" s="3" t="str">
        <f t="shared" si="0"/>
        <v> AN 252.397 </v>
      </c>
      <c r="B19" s="2" t="str">
        <f t="shared" si="1"/>
        <v>I</v>
      </c>
      <c r="C19" s="3">
        <f t="shared" si="2"/>
        <v>26988.550999999999</v>
      </c>
      <c r="D19" s="4" t="str">
        <f t="shared" si="3"/>
        <v>vis</v>
      </c>
      <c r="E19" s="22">
        <f>VLOOKUP(C19,Active!C$21:E$973,3,FALSE)</f>
        <v>-1153.0133033488676</v>
      </c>
      <c r="F19" s="2" t="s">
        <v>47</v>
      </c>
      <c r="G19" s="4" t="str">
        <f t="shared" si="4"/>
        <v>26988.551</v>
      </c>
      <c r="H19" s="3">
        <f t="shared" si="5"/>
        <v>51</v>
      </c>
      <c r="I19" s="23" t="s">
        <v>80</v>
      </c>
      <c r="J19" s="24" t="s">
        <v>81</v>
      </c>
      <c r="K19" s="23">
        <v>51</v>
      </c>
      <c r="L19" s="23" t="s">
        <v>82</v>
      </c>
      <c r="M19" s="24" t="s">
        <v>56</v>
      </c>
      <c r="N19" s="24"/>
      <c r="O19" s="25" t="s">
        <v>57</v>
      </c>
      <c r="P19" s="25" t="s">
        <v>58</v>
      </c>
    </row>
    <row r="20" spans="1:16" ht="12.75" customHeight="1" thickBot="1" x14ac:dyDescent="0.25">
      <c r="A20" s="3" t="str">
        <f t="shared" si="0"/>
        <v> MVS 191 </v>
      </c>
      <c r="B20" s="2" t="str">
        <f t="shared" si="1"/>
        <v>I</v>
      </c>
      <c r="C20" s="3">
        <f t="shared" si="2"/>
        <v>30731.397000000001</v>
      </c>
      <c r="D20" s="4" t="str">
        <f t="shared" si="3"/>
        <v>vis</v>
      </c>
      <c r="E20" s="22">
        <f>VLOOKUP(C20,Active!C$21:E$973,3,FALSE)</f>
        <v>-983.99637838228398</v>
      </c>
      <c r="F20" s="2" t="s">
        <v>47</v>
      </c>
      <c r="G20" s="4" t="str">
        <f t="shared" si="4"/>
        <v>30731.397</v>
      </c>
      <c r="H20" s="3">
        <f t="shared" si="5"/>
        <v>220</v>
      </c>
      <c r="I20" s="23" t="s">
        <v>83</v>
      </c>
      <c r="J20" s="24" t="s">
        <v>84</v>
      </c>
      <c r="K20" s="23">
        <v>220</v>
      </c>
      <c r="L20" s="23" t="s">
        <v>85</v>
      </c>
      <c r="M20" s="24" t="s">
        <v>56</v>
      </c>
      <c r="N20" s="24"/>
      <c r="O20" s="25" t="s">
        <v>86</v>
      </c>
      <c r="P20" s="25" t="s">
        <v>87</v>
      </c>
    </row>
    <row r="21" spans="1:16" ht="12.75" customHeight="1" thickBot="1" x14ac:dyDescent="0.25">
      <c r="A21" s="3" t="str">
        <f t="shared" si="0"/>
        <v> MVS 191 </v>
      </c>
      <c r="B21" s="2" t="str">
        <f t="shared" si="1"/>
        <v>I</v>
      </c>
      <c r="C21" s="3">
        <f t="shared" si="2"/>
        <v>30820.333999999999</v>
      </c>
      <c r="D21" s="4" t="str">
        <f t="shared" si="3"/>
        <v>vis</v>
      </c>
      <c r="E21" s="22">
        <f>VLOOKUP(C21,Active!C$21:E$973,3,FALSE)</f>
        <v>-979.98022109027875</v>
      </c>
      <c r="F21" s="2" t="s">
        <v>47</v>
      </c>
      <c r="G21" s="4" t="str">
        <f t="shared" si="4"/>
        <v>30820.334</v>
      </c>
      <c r="H21" s="3">
        <f t="shared" si="5"/>
        <v>224</v>
      </c>
      <c r="I21" s="23" t="s">
        <v>88</v>
      </c>
      <c r="J21" s="24" t="s">
        <v>89</v>
      </c>
      <c r="K21" s="23">
        <v>224</v>
      </c>
      <c r="L21" s="23" t="s">
        <v>90</v>
      </c>
      <c r="M21" s="24" t="s">
        <v>56</v>
      </c>
      <c r="N21" s="24"/>
      <c r="O21" s="25" t="s">
        <v>86</v>
      </c>
      <c r="P21" s="25" t="s">
        <v>87</v>
      </c>
    </row>
    <row r="22" spans="1:16" ht="12.75" customHeight="1" thickBot="1" x14ac:dyDescent="0.25">
      <c r="A22" s="3" t="str">
        <f t="shared" si="0"/>
        <v> MVS 191 </v>
      </c>
      <c r="B22" s="2" t="str">
        <f t="shared" si="1"/>
        <v>I</v>
      </c>
      <c r="C22" s="3">
        <f t="shared" si="2"/>
        <v>32480.580999999998</v>
      </c>
      <c r="D22" s="4" t="str">
        <f t="shared" si="3"/>
        <v>vis</v>
      </c>
      <c r="E22" s="22">
        <f>VLOOKUP(C22,Active!C$21:E$973,3,FALSE)</f>
        <v>-905.00790253242315</v>
      </c>
      <c r="F22" s="2" t="s">
        <v>47</v>
      </c>
      <c r="G22" s="4" t="str">
        <f t="shared" si="4"/>
        <v>32480.581</v>
      </c>
      <c r="H22" s="3">
        <f t="shared" si="5"/>
        <v>299</v>
      </c>
      <c r="I22" s="23" t="s">
        <v>91</v>
      </c>
      <c r="J22" s="24" t="s">
        <v>92</v>
      </c>
      <c r="K22" s="23">
        <v>299</v>
      </c>
      <c r="L22" s="23" t="s">
        <v>93</v>
      </c>
      <c r="M22" s="24" t="s">
        <v>56</v>
      </c>
      <c r="N22" s="24"/>
      <c r="O22" s="25" t="s">
        <v>86</v>
      </c>
      <c r="P22" s="25" t="s">
        <v>87</v>
      </c>
    </row>
    <row r="23" spans="1:16" ht="12.75" customHeight="1" thickBot="1" x14ac:dyDescent="0.25">
      <c r="A23" s="3" t="str">
        <f t="shared" si="0"/>
        <v> MVS 191 </v>
      </c>
      <c r="B23" s="2" t="str">
        <f t="shared" si="1"/>
        <v>I</v>
      </c>
      <c r="C23" s="3">
        <f t="shared" si="2"/>
        <v>32946.36</v>
      </c>
      <c r="D23" s="4" t="str">
        <f t="shared" si="3"/>
        <v>vis</v>
      </c>
      <c r="E23" s="22">
        <f>VLOOKUP(C23,Active!C$21:E$973,3,FALSE)</f>
        <v>-883.97456739279664</v>
      </c>
      <c r="F23" s="2" t="s">
        <v>47</v>
      </c>
      <c r="G23" s="4" t="str">
        <f t="shared" si="4"/>
        <v>32946.360</v>
      </c>
      <c r="H23" s="3">
        <f t="shared" si="5"/>
        <v>320</v>
      </c>
      <c r="I23" s="23" t="s">
        <v>94</v>
      </c>
      <c r="J23" s="24" t="s">
        <v>95</v>
      </c>
      <c r="K23" s="23">
        <v>320</v>
      </c>
      <c r="L23" s="23" t="s">
        <v>96</v>
      </c>
      <c r="M23" s="24" t="s">
        <v>56</v>
      </c>
      <c r="N23" s="24"/>
      <c r="O23" s="25" t="s">
        <v>86</v>
      </c>
      <c r="P23" s="25" t="s">
        <v>87</v>
      </c>
    </row>
    <row r="24" spans="1:16" ht="12.75" customHeight="1" thickBot="1" x14ac:dyDescent="0.25">
      <c r="A24" s="3" t="str">
        <f t="shared" si="0"/>
        <v> MVS 191 </v>
      </c>
      <c r="B24" s="2" t="str">
        <f t="shared" si="1"/>
        <v>I</v>
      </c>
      <c r="C24" s="3">
        <f t="shared" si="2"/>
        <v>33566.483</v>
      </c>
      <c r="D24" s="4" t="str">
        <f t="shared" si="3"/>
        <v>vis</v>
      </c>
      <c r="E24" s="22">
        <f>VLOOKUP(C24,Active!C$21:E$973,3,FALSE)</f>
        <v>-855.97146960008683</v>
      </c>
      <c r="F24" s="2" t="s">
        <v>47</v>
      </c>
      <c r="G24" s="4" t="str">
        <f t="shared" si="4"/>
        <v>33566.483</v>
      </c>
      <c r="H24" s="3">
        <f t="shared" si="5"/>
        <v>348</v>
      </c>
      <c r="I24" s="23" t="s">
        <v>97</v>
      </c>
      <c r="J24" s="24" t="s">
        <v>98</v>
      </c>
      <c r="K24" s="23">
        <v>348</v>
      </c>
      <c r="L24" s="23" t="s">
        <v>99</v>
      </c>
      <c r="M24" s="24" t="s">
        <v>56</v>
      </c>
      <c r="N24" s="24"/>
      <c r="O24" s="25" t="s">
        <v>86</v>
      </c>
      <c r="P24" s="25" t="s">
        <v>87</v>
      </c>
    </row>
    <row r="25" spans="1:16" ht="12.75" customHeight="1" thickBot="1" x14ac:dyDescent="0.25">
      <c r="A25" s="3" t="str">
        <f t="shared" si="0"/>
        <v> MVS 191 </v>
      </c>
      <c r="B25" s="2" t="str">
        <f t="shared" si="1"/>
        <v>I</v>
      </c>
      <c r="C25" s="3">
        <f t="shared" si="2"/>
        <v>33920.576999999997</v>
      </c>
      <c r="D25" s="4" t="str">
        <f t="shared" si="3"/>
        <v>vis</v>
      </c>
      <c r="E25" s="22">
        <f>VLOOKUP(C25,Active!C$21:E$973,3,FALSE)</f>
        <v>-839.98153065279462</v>
      </c>
      <c r="F25" s="2" t="s">
        <v>47</v>
      </c>
      <c r="G25" s="4" t="str">
        <f t="shared" si="4"/>
        <v>33920.577</v>
      </c>
      <c r="H25" s="3">
        <f t="shared" si="5"/>
        <v>364</v>
      </c>
      <c r="I25" s="23" t="s">
        <v>100</v>
      </c>
      <c r="J25" s="24" t="s">
        <v>101</v>
      </c>
      <c r="K25" s="23">
        <v>364</v>
      </c>
      <c r="L25" s="23" t="s">
        <v>102</v>
      </c>
      <c r="M25" s="24" t="s">
        <v>56</v>
      </c>
      <c r="N25" s="24"/>
      <c r="O25" s="25" t="s">
        <v>86</v>
      </c>
      <c r="P25" s="25" t="s">
        <v>87</v>
      </c>
    </row>
    <row r="26" spans="1:16" ht="12.75" customHeight="1" thickBot="1" x14ac:dyDescent="0.25">
      <c r="A26" s="3" t="str">
        <f t="shared" si="0"/>
        <v> MVS 191 </v>
      </c>
      <c r="B26" s="2" t="str">
        <f t="shared" si="1"/>
        <v>I</v>
      </c>
      <c r="C26" s="3">
        <f t="shared" si="2"/>
        <v>34252.586000000003</v>
      </c>
      <c r="D26" s="4" t="str">
        <f t="shared" si="3"/>
        <v>vis</v>
      </c>
      <c r="E26" s="22">
        <f>VLOOKUP(C26,Active!C$21:E$973,3,FALSE)</f>
        <v>-824.98889129727968</v>
      </c>
      <c r="F26" s="2" t="s">
        <v>47</v>
      </c>
      <c r="G26" s="4" t="str">
        <f t="shared" si="4"/>
        <v>34252.586</v>
      </c>
      <c r="H26" s="3">
        <f t="shared" si="5"/>
        <v>379</v>
      </c>
      <c r="I26" s="23" t="s">
        <v>103</v>
      </c>
      <c r="J26" s="24" t="s">
        <v>104</v>
      </c>
      <c r="K26" s="23">
        <v>379</v>
      </c>
      <c r="L26" s="23" t="s">
        <v>105</v>
      </c>
      <c r="M26" s="24" t="s">
        <v>56</v>
      </c>
      <c r="N26" s="24"/>
      <c r="O26" s="25" t="s">
        <v>86</v>
      </c>
      <c r="P26" s="25" t="s">
        <v>87</v>
      </c>
    </row>
    <row r="27" spans="1:16" ht="12.75" customHeight="1" thickBot="1" x14ac:dyDescent="0.25">
      <c r="A27" s="3" t="str">
        <f t="shared" si="0"/>
        <v> MVS 191 </v>
      </c>
      <c r="B27" s="2" t="str">
        <f t="shared" si="1"/>
        <v>I</v>
      </c>
      <c r="C27" s="3">
        <f t="shared" si="2"/>
        <v>34452.400000000001</v>
      </c>
      <c r="D27" s="4" t="str">
        <f t="shared" si="3"/>
        <v>vis</v>
      </c>
      <c r="E27" s="22">
        <f>VLOOKUP(C27,Active!C$21:E$973,3,FALSE)</f>
        <v>-815.96582493407038</v>
      </c>
      <c r="F27" s="2" t="s">
        <v>47</v>
      </c>
      <c r="G27" s="4" t="str">
        <f t="shared" si="4"/>
        <v>34452.4</v>
      </c>
      <c r="H27" s="3">
        <f t="shared" si="5"/>
        <v>388</v>
      </c>
      <c r="I27" s="23" t="s">
        <v>106</v>
      </c>
      <c r="J27" s="24" t="s">
        <v>107</v>
      </c>
      <c r="K27" s="23">
        <v>388</v>
      </c>
      <c r="L27" s="23" t="s">
        <v>108</v>
      </c>
      <c r="M27" s="24" t="s">
        <v>56</v>
      </c>
      <c r="N27" s="24"/>
      <c r="O27" s="25" t="s">
        <v>86</v>
      </c>
      <c r="P27" s="25" t="s">
        <v>87</v>
      </c>
    </row>
    <row r="28" spans="1:16" ht="12.75" customHeight="1" thickBot="1" x14ac:dyDescent="0.25">
      <c r="A28" s="3" t="str">
        <f t="shared" si="0"/>
        <v> MVS 191 </v>
      </c>
      <c r="B28" s="2" t="str">
        <f t="shared" si="1"/>
        <v>I</v>
      </c>
      <c r="C28" s="3">
        <f t="shared" si="2"/>
        <v>34628.567000000003</v>
      </c>
      <c r="D28" s="4" t="str">
        <f t="shared" si="3"/>
        <v>vis</v>
      </c>
      <c r="E28" s="22">
        <f>VLOOKUP(C28,Active!C$21:E$973,3,FALSE)</f>
        <v>-808.01059390917953</v>
      </c>
      <c r="F28" s="2" t="s">
        <v>47</v>
      </c>
      <c r="G28" s="4" t="str">
        <f t="shared" si="4"/>
        <v>34628.567</v>
      </c>
      <c r="H28" s="3">
        <f t="shared" si="5"/>
        <v>396</v>
      </c>
      <c r="I28" s="23" t="s">
        <v>109</v>
      </c>
      <c r="J28" s="24" t="s">
        <v>110</v>
      </c>
      <c r="K28" s="23">
        <v>396</v>
      </c>
      <c r="L28" s="23" t="s">
        <v>111</v>
      </c>
      <c r="M28" s="24" t="s">
        <v>56</v>
      </c>
      <c r="N28" s="24"/>
      <c r="O28" s="25" t="s">
        <v>86</v>
      </c>
      <c r="P28" s="25" t="s">
        <v>87</v>
      </c>
    </row>
    <row r="29" spans="1:16" ht="12.75" customHeight="1" thickBot="1" x14ac:dyDescent="0.25">
      <c r="A29" s="3" t="str">
        <f t="shared" si="0"/>
        <v> MVS 191 </v>
      </c>
      <c r="B29" s="2" t="str">
        <f t="shared" si="1"/>
        <v>I</v>
      </c>
      <c r="C29" s="3">
        <f t="shared" si="2"/>
        <v>35093.432000000001</v>
      </c>
      <c r="D29" s="4" t="str">
        <f t="shared" si="3"/>
        <v>vis</v>
      </c>
      <c r="E29" s="22">
        <f>VLOOKUP(C29,Active!C$21:E$973,3,FALSE)</f>
        <v>-787.01853256746517</v>
      </c>
      <c r="F29" s="2" t="s">
        <v>47</v>
      </c>
      <c r="G29" s="4" t="str">
        <f t="shared" si="4"/>
        <v>35093.432</v>
      </c>
      <c r="H29" s="3">
        <f t="shared" si="5"/>
        <v>417</v>
      </c>
      <c r="I29" s="23" t="s">
        <v>112</v>
      </c>
      <c r="J29" s="24" t="s">
        <v>113</v>
      </c>
      <c r="K29" s="23">
        <v>417</v>
      </c>
      <c r="L29" s="23" t="s">
        <v>114</v>
      </c>
      <c r="M29" s="24" t="s">
        <v>56</v>
      </c>
      <c r="N29" s="24"/>
      <c r="O29" s="25" t="s">
        <v>86</v>
      </c>
      <c r="P29" s="25" t="s">
        <v>87</v>
      </c>
    </row>
    <row r="30" spans="1:16" ht="12.75" customHeight="1" thickBot="1" x14ac:dyDescent="0.25">
      <c r="A30" s="3" t="str">
        <f t="shared" si="0"/>
        <v>BAVM 192 </v>
      </c>
      <c r="B30" s="2" t="str">
        <f t="shared" si="1"/>
        <v>I</v>
      </c>
      <c r="C30" s="3">
        <f t="shared" si="2"/>
        <v>53451.85</v>
      </c>
      <c r="D30" s="4" t="str">
        <f t="shared" si="3"/>
        <v>vis</v>
      </c>
      <c r="E30" s="22">
        <f>VLOOKUP(C30,Active!C$21:E$973,3,FALSE)</f>
        <v>41.998573028430854</v>
      </c>
      <c r="F30" s="2" t="s">
        <v>47</v>
      </c>
      <c r="G30" s="4" t="str">
        <f t="shared" si="4"/>
        <v>53451.85</v>
      </c>
      <c r="H30" s="3">
        <f t="shared" si="5"/>
        <v>1246</v>
      </c>
      <c r="I30" s="23" t="s">
        <v>115</v>
      </c>
      <c r="J30" s="24" t="s">
        <v>116</v>
      </c>
      <c r="K30" s="23">
        <v>1246</v>
      </c>
      <c r="L30" s="23" t="s">
        <v>117</v>
      </c>
      <c r="M30" s="24" t="s">
        <v>118</v>
      </c>
      <c r="N30" s="24"/>
      <c r="O30" s="25" t="s">
        <v>119</v>
      </c>
      <c r="P30" s="26" t="s">
        <v>120</v>
      </c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</sheetData>
  <phoneticPr fontId="7" type="noConversion"/>
  <hyperlinks>
    <hyperlink ref="A3" r:id="rId1"/>
    <hyperlink ref="P30" r:id="rId2" display="http://www.bav-astro.de/sfs/BAVM_link.php?BAVMnr=1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2024-02-28T06:17:40Z</dcterms:modified>
</cp:coreProperties>
</file>