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1B5A5A0-C5B5-4EBF-96BF-7BD36CC0A3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I46" i="1" l="1"/>
  <c r="Q51" i="1"/>
  <c r="D9" i="1"/>
  <c r="C9" i="1"/>
  <c r="Q45" i="1"/>
  <c r="Q44" i="1"/>
  <c r="Q43" i="1"/>
  <c r="Q42" i="1"/>
  <c r="Q41" i="1"/>
  <c r="Q40" i="1"/>
  <c r="Q39" i="1"/>
  <c r="Q38" i="1"/>
  <c r="Q37" i="1"/>
  <c r="Q36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21" i="2"/>
  <c r="C21" i="2"/>
  <c r="G20" i="2"/>
  <c r="C20" i="2"/>
  <c r="G19" i="2"/>
  <c r="C19" i="2"/>
  <c r="G18" i="2"/>
  <c r="C18" i="2"/>
  <c r="G17" i="2"/>
  <c r="C17" i="2"/>
  <c r="G16" i="2"/>
  <c r="C16" i="2"/>
  <c r="G46" i="2"/>
  <c r="C46" i="2"/>
  <c r="G15" i="2"/>
  <c r="C15" i="2"/>
  <c r="G14" i="2"/>
  <c r="C14" i="2"/>
  <c r="G13" i="2"/>
  <c r="C13" i="2"/>
  <c r="G12" i="2"/>
  <c r="C12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46" i="2"/>
  <c r="D46" i="2"/>
  <c r="B46" i="2"/>
  <c r="A4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Q58" i="1"/>
  <c r="Q54" i="1"/>
  <c r="Q56" i="1"/>
  <c r="Q57" i="1"/>
  <c r="F16" i="1"/>
  <c r="F17" i="1" s="1"/>
  <c r="C17" i="1"/>
  <c r="Q55" i="1"/>
  <c r="Q53" i="1"/>
  <c r="Q52" i="1"/>
  <c r="Q50" i="1"/>
  <c r="Q46" i="1"/>
  <c r="Q47" i="1"/>
  <c r="Q48" i="1"/>
  <c r="Q49" i="1"/>
  <c r="C8" i="1"/>
  <c r="C7" i="1"/>
  <c r="E48" i="1"/>
  <c r="F48" i="1" s="1"/>
  <c r="G48" i="1" s="1"/>
  <c r="I48" i="1" s="1"/>
  <c r="Q35" i="1"/>
  <c r="E13" i="2"/>
  <c r="E40" i="2"/>
  <c r="E50" i="1"/>
  <c r="E15" i="2" s="1"/>
  <c r="E40" i="1"/>
  <c r="F40" i="1"/>
  <c r="G40" i="1" s="1"/>
  <c r="I40" i="1" s="1"/>
  <c r="E31" i="1"/>
  <c r="F31" i="1" s="1"/>
  <c r="G31" i="1" s="1"/>
  <c r="I31" i="1" s="1"/>
  <c r="E23" i="1"/>
  <c r="F23" i="1"/>
  <c r="G23" i="1"/>
  <c r="I23" i="1" s="1"/>
  <c r="E56" i="1"/>
  <c r="F56" i="1" s="1"/>
  <c r="G56" i="1" s="1"/>
  <c r="K56" i="1" s="1"/>
  <c r="E35" i="1"/>
  <c r="F35" i="1" s="1"/>
  <c r="G35" i="1" s="1"/>
  <c r="H35" i="1" s="1"/>
  <c r="E45" i="1"/>
  <c r="E45" i="2" s="1"/>
  <c r="F45" i="1"/>
  <c r="G45" i="1"/>
  <c r="I45" i="1" s="1"/>
  <c r="E37" i="1"/>
  <c r="E37" i="2" s="1"/>
  <c r="E28" i="1"/>
  <c r="F28" i="1"/>
  <c r="G28" i="1" s="1"/>
  <c r="I28" i="1" s="1"/>
  <c r="E53" i="1"/>
  <c r="F53" i="1" s="1"/>
  <c r="G53" i="1" s="1"/>
  <c r="K53" i="1" s="1"/>
  <c r="E42" i="1"/>
  <c r="F42" i="1" s="1"/>
  <c r="G42" i="1" s="1"/>
  <c r="I42" i="1" s="1"/>
  <c r="G36" i="1"/>
  <c r="I36" i="1" s="1"/>
  <c r="E33" i="1"/>
  <c r="F33" i="1" s="1"/>
  <c r="G33" i="1" s="1"/>
  <c r="I33" i="1" s="1"/>
  <c r="E25" i="1"/>
  <c r="E26" i="2" s="1"/>
  <c r="F25" i="1"/>
  <c r="G25" i="1" s="1"/>
  <c r="I25" i="1" s="1"/>
  <c r="E57" i="1"/>
  <c r="F57" i="1" s="1"/>
  <c r="E49" i="1"/>
  <c r="F49" i="1" s="1"/>
  <c r="G49" i="1" s="1"/>
  <c r="J49" i="1" s="1"/>
  <c r="E39" i="1"/>
  <c r="F39" i="1" s="1"/>
  <c r="G39" i="1" s="1"/>
  <c r="I39" i="1" s="1"/>
  <c r="E30" i="1"/>
  <c r="F30" i="1"/>
  <c r="G30" i="1" s="1"/>
  <c r="I30" i="1" s="1"/>
  <c r="E22" i="1"/>
  <c r="E23" i="2" s="1"/>
  <c r="E46" i="1"/>
  <c r="F46" i="1" s="1"/>
  <c r="G46" i="1" s="1"/>
  <c r="E55" i="1"/>
  <c r="F55" i="1"/>
  <c r="G55" i="1" s="1"/>
  <c r="K55" i="1" s="1"/>
  <c r="E44" i="1"/>
  <c r="F44" i="1"/>
  <c r="G44" i="1"/>
  <c r="I44" i="1"/>
  <c r="E36" i="1"/>
  <c r="F36" i="1"/>
  <c r="E27" i="1"/>
  <c r="F27" i="1" s="1"/>
  <c r="G27" i="1" s="1"/>
  <c r="I27" i="1" s="1"/>
  <c r="G54" i="1"/>
  <c r="K54" i="1"/>
  <c r="E52" i="1"/>
  <c r="F52" i="1"/>
  <c r="G52" i="1" s="1"/>
  <c r="K52" i="1" s="1"/>
  <c r="E41" i="1"/>
  <c r="E41" i="2" s="1"/>
  <c r="E32" i="1"/>
  <c r="E33" i="2" s="1"/>
  <c r="F32" i="1"/>
  <c r="G32" i="1" s="1"/>
  <c r="I32" i="1" s="1"/>
  <c r="E24" i="1"/>
  <c r="F24" i="1" s="1"/>
  <c r="G24" i="1" s="1"/>
  <c r="I24" i="1" s="1"/>
  <c r="E58" i="1"/>
  <c r="F58" i="1"/>
  <c r="G58" i="1" s="1"/>
  <c r="K58" i="1" s="1"/>
  <c r="E47" i="1"/>
  <c r="E12" i="2" s="1"/>
  <c r="F47" i="1"/>
  <c r="G47" i="1" s="1"/>
  <c r="I47" i="1" s="1"/>
  <c r="E51" i="1"/>
  <c r="E46" i="2" s="1"/>
  <c r="F51" i="1"/>
  <c r="G51" i="1" s="1"/>
  <c r="K51" i="1" s="1"/>
  <c r="E38" i="1"/>
  <c r="E38" i="2" s="1"/>
  <c r="F38" i="1"/>
  <c r="G38" i="1" s="1"/>
  <c r="I38" i="1" s="1"/>
  <c r="E29" i="1"/>
  <c r="F29" i="1"/>
  <c r="G29" i="1"/>
  <c r="I29" i="1"/>
  <c r="E21" i="1"/>
  <c r="F21" i="1"/>
  <c r="G21" i="1" s="1"/>
  <c r="I21" i="1" s="1"/>
  <c r="E54" i="1"/>
  <c r="F54" i="1"/>
  <c r="E43" i="1"/>
  <c r="F43" i="1"/>
  <c r="G43" i="1" s="1"/>
  <c r="I43" i="1" s="1"/>
  <c r="E34" i="1"/>
  <c r="E35" i="2" s="1"/>
  <c r="F34" i="1"/>
  <c r="G34" i="1" s="1"/>
  <c r="I34" i="1" s="1"/>
  <c r="E26" i="1"/>
  <c r="E27" i="2" s="1"/>
  <c r="E18" i="2"/>
  <c r="E28" i="2"/>
  <c r="E34" i="2"/>
  <c r="E14" i="2"/>
  <c r="E39" i="2"/>
  <c r="E22" i="2"/>
  <c r="E44" i="2"/>
  <c r="E43" i="2"/>
  <c r="E36" i="2"/>
  <c r="E31" i="2"/>
  <c r="E30" i="2"/>
  <c r="E42" i="2"/>
  <c r="E11" i="2"/>
  <c r="E21" i="2"/>
  <c r="E19" i="2"/>
  <c r="E24" i="2"/>
  <c r="E29" i="2"/>
  <c r="E17" i="2"/>
  <c r="E32" i="2" l="1"/>
  <c r="E25" i="2"/>
  <c r="F50" i="1"/>
  <c r="G50" i="1" s="1"/>
  <c r="K50" i="1" s="1"/>
  <c r="F26" i="1"/>
  <c r="G26" i="1" s="1"/>
  <c r="I26" i="1" s="1"/>
  <c r="F41" i="1"/>
  <c r="G41" i="1" s="1"/>
  <c r="I41" i="1" s="1"/>
  <c r="E20" i="2"/>
  <c r="F37" i="1"/>
  <c r="G37" i="1" s="1"/>
  <c r="I37" i="1" s="1"/>
  <c r="E16" i="2"/>
  <c r="F22" i="1"/>
  <c r="G22" i="1" s="1"/>
  <c r="C11" i="1"/>
  <c r="C12" i="1"/>
  <c r="C16" i="1" l="1"/>
  <c r="D18" i="1" s="1"/>
  <c r="O39" i="1"/>
  <c r="O28" i="1"/>
  <c r="O53" i="1"/>
  <c r="O42" i="1"/>
  <c r="O35" i="1"/>
  <c r="O33" i="1"/>
  <c r="O41" i="1"/>
  <c r="O47" i="1"/>
  <c r="O22" i="1"/>
  <c r="O32" i="1"/>
  <c r="C15" i="1"/>
  <c r="C18" i="1" s="1"/>
  <c r="O26" i="1"/>
  <c r="O49" i="1"/>
  <c r="O57" i="1"/>
  <c r="O55" i="1"/>
  <c r="O44" i="1"/>
  <c r="O51" i="1"/>
  <c r="O38" i="1"/>
  <c r="O56" i="1"/>
  <c r="O43" i="1"/>
  <c r="O21" i="1"/>
  <c r="O40" i="1"/>
  <c r="O46" i="1"/>
  <c r="O37" i="1"/>
  <c r="O27" i="1"/>
  <c r="O25" i="1"/>
  <c r="O31" i="1"/>
  <c r="O54" i="1"/>
  <c r="O23" i="1"/>
  <c r="O48" i="1"/>
  <c r="O30" i="1"/>
  <c r="O24" i="1"/>
  <c r="O36" i="1"/>
  <c r="O52" i="1"/>
  <c r="O58" i="1"/>
  <c r="O34" i="1"/>
  <c r="O29" i="1"/>
  <c r="O45" i="1"/>
  <c r="O50" i="1"/>
  <c r="I22" i="1"/>
  <c r="F18" i="1" l="1"/>
  <c r="F19" i="1" s="1"/>
</calcChain>
</file>

<file path=xl/sharedStrings.xml><?xml version="1.0" encoding="utf-8"?>
<sst xmlns="http://schemas.openxmlformats.org/spreadsheetml/2006/main" count="398" uniqueCount="213">
  <si>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</si>
  <si>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</si>
  <si>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</si>
  <si>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</si>
  <si>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</si>
  <si>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</si>
  <si>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</si>
  <si>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</si>
  <si>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</si>
  <si>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</si>
  <si>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</si>
  <si>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</si>
  <si>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</si>
  <si>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</si>
  <si>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</si>
  <si>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</si>
  <si>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</si>
  <si>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</si>
  <si>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</si>
  <si>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</si>
  <si>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</si>
  <si>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</si>
  <si>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</si>
  <si>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</si>
  <si>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</si>
  <si>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</si>
  <si>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</si>
  <si>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</si>
  <si>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</si>
  <si>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Bull.19</t>
  </si>
  <si>
    <t>B</t>
  </si>
  <si>
    <t>:</t>
  </si>
  <si>
    <t>v</t>
  </si>
  <si>
    <t>BAAVSS 67,7</t>
  </si>
  <si>
    <t>K</t>
  </si>
  <si>
    <t>Paschke A</t>
  </si>
  <si>
    <t>BBSAG Bull.97</t>
  </si>
  <si>
    <t>IBVS 5487</t>
  </si>
  <si>
    <t>I</t>
  </si>
  <si>
    <t>IBVS 5357</t>
  </si>
  <si>
    <t>EA/DS:</t>
  </si>
  <si>
    <t>IBVS 5577</t>
  </si>
  <si>
    <t># of data points:</t>
  </si>
  <si>
    <t>FO Ori / GSC 00105-02342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</si>
  <si>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</si>
  <si>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</si>
  <si>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</si>
  <si>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</si>
  <si>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</si>
  <si>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</si>
  <si>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5871</t>
  </si>
  <si>
    <t>Add cycle</t>
  </si>
  <si>
    <t>Old Cycle</t>
  </si>
  <si>
    <t>OEJV 116</t>
  </si>
  <si>
    <t>IBVS 5972</t>
  </si>
  <si>
    <t>II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</si>
  <si>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</si>
  <si>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</si>
  <si>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</si>
  <si>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</si>
  <si>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</si>
  <si>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</si>
  <si>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</si>
  <si>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</si>
  <si>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</si>
  <si>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</si>
  <si>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</si>
  <si>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</si>
  <si>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</si>
  <si>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2425503.592 </t>
  </si>
  <si>
    <t> 14.09.1928 02:12 </t>
  </si>
  <si>
    <t> -0.040 </t>
  </si>
  <si>
    <t>P </t>
  </si>
  <si>
    <t> A.Jensch </t>
  </si>
  <si>
    <t> AN 255.184 </t>
  </si>
  <si>
    <t>2426631.610 </t>
  </si>
  <si>
    <t> 17.10.1931 02:38 </t>
  </si>
  <si>
    <t> -0.057 </t>
  </si>
  <si>
    <t>2426631.626 </t>
  </si>
  <si>
    <t> 17.10.1931 03:01 </t>
  </si>
  <si>
    <t> -0.041 </t>
  </si>
  <si>
    <t>2426650.516 </t>
  </si>
  <si>
    <t> 05.11.1931 00:23 </t>
  </si>
  <si>
    <t> 0.049 </t>
  </si>
  <si>
    <t>2426650.524 </t>
  </si>
  <si>
    <t> 05.11.1931 00:34 </t>
  </si>
  <si>
    <t> 0.057 </t>
  </si>
  <si>
    <t> H.Rügemer </t>
  </si>
  <si>
    <t>2426744.314 </t>
  </si>
  <si>
    <t> 06.02.1932 19:32 </t>
  </si>
  <si>
    <t> -0.156 </t>
  </si>
  <si>
    <t>2427120.362 </t>
  </si>
  <si>
    <t> 16.02.1933 20:41 </t>
  </si>
  <si>
    <t> -0.120 </t>
  </si>
  <si>
    <t>2427421.438 </t>
  </si>
  <si>
    <t> 14.12.1933 22:30 </t>
  </si>
  <si>
    <t> 0.147 </t>
  </si>
  <si>
    <t>2427421.481 </t>
  </si>
  <si>
    <t> 14.12.1933 23:32 </t>
  </si>
  <si>
    <t> 0.190 </t>
  </si>
  <si>
    <t>2428549.335 </t>
  </si>
  <si>
    <t> 15.01.1937 20:02 </t>
  </si>
  <si>
    <t> 0.009 </t>
  </si>
  <si>
    <t>V </t>
  </si>
  <si>
    <t> K.Kordylewski </t>
  </si>
  <si>
    <t> AA 27.157 </t>
  </si>
  <si>
    <t>2430147.510 </t>
  </si>
  <si>
    <t> 02.06.1941 00:14 </t>
  </si>
  <si>
    <t> 0.135 </t>
  </si>
  <si>
    <t> S.Gaposchkin </t>
  </si>
  <si>
    <t> HA 113.75 </t>
  </si>
  <si>
    <t>2430410.61 </t>
  </si>
  <si>
    <t> 20.02.1942 02:38 </t>
  </si>
  <si>
    <t> 0.03 </t>
  </si>
  <si>
    <t> B.S.Whitney </t>
  </si>
  <si>
    <t> AJ 64.262 </t>
  </si>
  <si>
    <t>2430786.578 </t>
  </si>
  <si>
    <t> 03.03.1943 01:52 </t>
  </si>
  <si>
    <t> -0.017 </t>
  </si>
  <si>
    <t> AJ 53.14 </t>
  </si>
  <si>
    <t>2431820.625 </t>
  </si>
  <si>
    <t> 31.12.1945 03:00 </t>
  </si>
  <si>
    <t> -0.002 </t>
  </si>
  <si>
    <t>2431820.635 </t>
  </si>
  <si>
    <t> 31.12.1945 03:14 </t>
  </si>
  <si>
    <t> 0.008 </t>
  </si>
  <si>
    <t>2432177.839 </t>
  </si>
  <si>
    <t> 23.12.1946 08:08 </t>
  </si>
  <si>
    <t> 0.001 </t>
  </si>
  <si>
    <t>2432553.845 </t>
  </si>
  <si>
    <t> 03.01.1948 08:16 </t>
  </si>
  <si>
    <t> -0.005 </t>
  </si>
  <si>
    <t>2432892.272 </t>
  </si>
  <si>
    <t> 06.12.1948 18:31 </t>
  </si>
  <si>
    <t> 0.012 </t>
  </si>
  <si>
    <t> R.Szafraniec </t>
  </si>
  <si>
    <t> AAC 5.5 </t>
  </si>
  <si>
    <t>2433569.093 </t>
  </si>
  <si>
    <t> 14.10.1950 14:13 </t>
  </si>
  <si>
    <t>2434452.698 </t>
  </si>
  <si>
    <t> 16.03.1953 04:45 </t>
  </si>
  <si>
    <t> -0.010 </t>
  </si>
  <si>
    <t>2435204.734 </t>
  </si>
  <si>
    <t> 07.04.1955 05:36 </t>
  </si>
  <si>
    <t> 0.003 </t>
  </si>
  <si>
    <t>2436163.85 </t>
  </si>
  <si>
    <t> 21.11.1957 08:24 </t>
  </si>
  <si>
    <t> 0.29 </t>
  </si>
  <si>
    <t> AA 8.191 </t>
  </si>
  <si>
    <t>2436257.557 </t>
  </si>
  <si>
    <t> 23.02.1958 01:22 </t>
  </si>
  <si>
    <t> -0.007 </t>
  </si>
  <si>
    <t>2439829.647 </t>
  </si>
  <si>
    <t> 05.12.1967 03:31 </t>
  </si>
  <si>
    <t> -0.027 </t>
  </si>
  <si>
    <t> L.Hazel </t>
  </si>
  <si>
    <t> AVSJ 3.65 </t>
  </si>
  <si>
    <t>2442405.38 </t>
  </si>
  <si>
    <t> 23.12.1974 21:07 </t>
  </si>
  <si>
    <t> K.Locher </t>
  </si>
  <si>
    <t> BBS 19 </t>
  </si>
  <si>
    <t>2445037.392 </t>
  </si>
  <si>
    <t> 08.03.1982 21:24 </t>
  </si>
  <si>
    <t> -0.043 </t>
  </si>
  <si>
    <t> T.Brelstaff </t>
  </si>
  <si>
    <t> VSSC 67.11 </t>
  </si>
  <si>
    <t>2446052.679 </t>
  </si>
  <si>
    <t> 18.12.1984 04:17 </t>
  </si>
  <si>
    <t> 0.013 </t>
  </si>
  <si>
    <t>2448233.49 </t>
  </si>
  <si>
    <t> 07.12.1990 23:45 </t>
  </si>
  <si>
    <t> -0.04 </t>
  </si>
  <si>
    <t>E </t>
  </si>
  <si>
    <t>?</t>
  </si>
  <si>
    <t> A.Paschke </t>
  </si>
  <si>
    <t> BBS 97 </t>
  </si>
  <si>
    <t>2452275.6149 </t>
  </si>
  <si>
    <t> 01.01.2002 02:45 </t>
  </si>
  <si>
    <t> -0.0431 </t>
  </si>
  <si>
    <t> C.Lacy </t>
  </si>
  <si>
    <t>IBVS 5357 </t>
  </si>
  <si>
    <t>2452689.291 </t>
  </si>
  <si>
    <t> 18.02.2003 18:59 </t>
  </si>
  <si>
    <t> 0.020 </t>
  </si>
  <si>
    <t> R.Meyer </t>
  </si>
  <si>
    <t>BAVM 157 </t>
  </si>
  <si>
    <t>2453027.6366 </t>
  </si>
  <si>
    <t> 23.01.2004 03:16 </t>
  </si>
  <si>
    <t> -0.0446 </t>
  </si>
  <si>
    <t>IBVS 5577 </t>
  </si>
  <si>
    <t>2454456.493 </t>
  </si>
  <si>
    <t> 21.12.2007 23:49 </t>
  </si>
  <si>
    <t> -0.032 </t>
  </si>
  <si>
    <t>C </t>
  </si>
  <si>
    <t>o</t>
  </si>
  <si>
    <t>OEJV 0116 </t>
  </si>
  <si>
    <t>2454794.8899 </t>
  </si>
  <si>
    <t> 24.11.2008 09:21 </t>
  </si>
  <si>
    <t> -0.0459 </t>
  </si>
  <si>
    <t> R.Diethelm </t>
  </si>
  <si>
    <t>IBVS 5871 </t>
  </si>
  <si>
    <t>2455170.8995 </t>
  </si>
  <si>
    <t> 05.12.2009 09:35 </t>
  </si>
  <si>
    <t> -0.0479 </t>
  </si>
  <si>
    <t>IBVS 5972 </t>
  </si>
  <si>
    <t>2455505.9168 </t>
  </si>
  <si>
    <t> 05.11.2010 10:00 </t>
  </si>
  <si>
    <t> -3.4410 </t>
  </si>
  <si>
    <t>2457013.355 </t>
  </si>
  <si>
    <t> 21.12.2014 20:31 </t>
  </si>
  <si>
    <t> -0.049 </t>
  </si>
  <si>
    <t>OEJV 0172 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</si>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</sst>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NumberFormat="1" applyFont="1" applyAlignment="1">
      <alignment horizontal="left"/>
    </xf>
    <xf numFmtId="0" fontId="0" fillId="0" borderId="0" xfId="0">
      <alignment vertical="top"/>
    </xf>
    <xf numFmtId="0" fontId="9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176" fontId="15" fillId="0" borderId="0" xfId="0" applyNumberFormat="1" applyFont="1" applyFill="1" applyBorder="1" applyAlignment="1" applyProtection="1">
      <alignment horizontal="left" vertical="top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horizontal="center" vertical="top"/>
    </xf>
    <xf numFmtId="176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Ori - O-C Diagr.</a:t>
            </a:r>
          </a:p>
        </c:rich>
      </c:tx>
      <c:layout>
        <c:manualLayout>
          <c:xMode val="edge"/>
          <c:yMode val="edge"/>
          <c:x val="0.381426898752083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7884062571358"/>
          <c:y val="0.14769252958613219"/>
          <c:w val="0.80928820948676128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5A-4052-A458-AAF51862DE1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-4.0120000001479639E-2</c:v>
                </c:pt>
                <c:pt idx="1">
                  <c:v>-5.6919999999081483E-2</c:v>
                </c:pt>
                <c:pt idx="2">
                  <c:v>-4.0919999999459833E-2</c:v>
                </c:pt>
                <c:pt idx="3">
                  <c:v>4.8500000000785803E-2</c:v>
                </c:pt>
                <c:pt idx="4">
                  <c:v>5.6500000002415618E-2</c:v>
                </c:pt>
                <c:pt idx="5">
                  <c:v>-0.15639999999984866</c:v>
                </c:pt>
                <c:pt idx="6">
                  <c:v>-0.11999999999898137</c:v>
                </c:pt>
                <c:pt idx="7">
                  <c:v>0.14671999999700347</c:v>
                </c:pt>
                <c:pt idx="8">
                  <c:v>0.18971999999848776</c:v>
                </c:pt>
                <c:pt idx="9">
                  <c:v>8.9200000002165325E-3</c:v>
                </c:pt>
                <c:pt idx="10">
                  <c:v>0.13461999999708496</c:v>
                </c:pt>
                <c:pt idx="11">
                  <c:v>2.6499999999941792E-2</c:v>
                </c:pt>
                <c:pt idx="12">
                  <c:v>-1.7099999997299165E-2</c:v>
                </c:pt>
                <c:pt idx="13">
                  <c:v>-2.0000000004074536E-3</c:v>
                </c:pt>
                <c:pt idx="15">
                  <c:v>7.9999999979918357E-3</c:v>
                </c:pt>
                <c:pt idx="16">
                  <c:v>9.8000000070896931E-4</c:v>
                </c:pt>
                <c:pt idx="17">
                  <c:v>-4.6199999997043051E-3</c:v>
                </c:pt>
                <c:pt idx="18">
                  <c:v>1.1939999996684492E-2</c:v>
                </c:pt>
                <c:pt idx="19">
                  <c:v>1.2060000000928994E-2</c:v>
                </c:pt>
                <c:pt idx="20">
                  <c:v>-1.0200000004260801E-2</c:v>
                </c:pt>
                <c:pt idx="21">
                  <c:v>2.5999999925261363E-3</c:v>
                </c:pt>
                <c:pt idx="22">
                  <c:v>0.28901999999652617</c:v>
                </c:pt>
                <c:pt idx="23">
                  <c:v>-6.8800000008195639E-3</c:v>
                </c:pt>
                <c:pt idx="24">
                  <c:v>-2.7079999999841675E-2</c:v>
                </c:pt>
                <c:pt idx="25">
                  <c:v>2.6460000000952277E-2</c:v>
                </c:pt>
                <c:pt idx="26">
                  <c:v>-4.2739999997138511E-2</c:v>
                </c:pt>
                <c:pt idx="27">
                  <c:v>1.293999999325024E-2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5A-4052-A458-AAF51862DE1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8">
                  <c:v>-4.3340000003809109E-2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5A-4052-A458-AAF51862DE1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9">
                  <c:v>-4.3140000001585577E-2</c:v>
                </c:pt>
                <c:pt idx="30">
                  <c:v>2.0199999999022111E-2</c:v>
                </c:pt>
                <c:pt idx="31">
                  <c:v>-4.3260000005830079E-2</c:v>
                </c:pt>
                <c:pt idx="32">
                  <c:v>-4.4640000007348135E-2</c:v>
                </c:pt>
                <c:pt idx="33">
                  <c:v>-3.2319999998435378E-2</c:v>
                </c:pt>
                <c:pt idx="34">
                  <c:v>-4.5859999998356216E-2</c:v>
                </c:pt>
                <c:pt idx="35">
                  <c:v>-4.7860000006039627E-2</c:v>
                </c:pt>
                <c:pt idx="37">
                  <c:v>-4.920000000129221E-2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5A-4052-A458-AAF51862DE1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5A-4052-A458-AAF51862DE1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5A-4052-A458-AAF51862DE1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15A-4052-A458-AAF51862DE1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2.8939511286300075E-2</c:v>
                </c:pt>
                <c:pt idx="1">
                  <c:v>2.6680153363563872E-2</c:v>
                </c:pt>
                <c:pt idx="2">
                  <c:v>2.6680153363563872E-2</c:v>
                </c:pt>
                <c:pt idx="3">
                  <c:v>2.6642497398184931E-2</c:v>
                </c:pt>
                <c:pt idx="4">
                  <c:v>2.6642497398184931E-2</c:v>
                </c:pt>
                <c:pt idx="5">
                  <c:v>2.645421757129025E-2</c:v>
                </c:pt>
                <c:pt idx="6">
                  <c:v>2.5701098263711517E-2</c:v>
                </c:pt>
                <c:pt idx="7">
                  <c:v>2.5098602817648526E-2</c:v>
                </c:pt>
                <c:pt idx="8">
                  <c:v>2.5098602817648526E-2</c:v>
                </c:pt>
                <c:pt idx="9">
                  <c:v>2.2839244894912319E-2</c:v>
                </c:pt>
                <c:pt idx="10">
                  <c:v>1.9638487837702698E-2</c:v>
                </c:pt>
                <c:pt idx="11">
                  <c:v>1.9111304322397583E-2</c:v>
                </c:pt>
                <c:pt idx="12">
                  <c:v>1.8358185014818847E-2</c:v>
                </c:pt>
                <c:pt idx="13">
                  <c:v>1.6287106918977327E-2</c:v>
                </c:pt>
                <c:pt idx="14">
                  <c:v>1.6287106918977327E-2</c:v>
                </c:pt>
                <c:pt idx="15">
                  <c:v>1.6287106918977327E-2</c:v>
                </c:pt>
                <c:pt idx="16">
                  <c:v>1.557164357677753E-2</c:v>
                </c:pt>
                <c:pt idx="17">
                  <c:v>1.4818524269198795E-2</c:v>
                </c:pt>
                <c:pt idx="18">
                  <c:v>1.4140716892377933E-2</c:v>
                </c:pt>
                <c:pt idx="19">
                  <c:v>1.278510213873621E-2</c:v>
                </c:pt>
                <c:pt idx="20">
                  <c:v>1.1015271765926184E-2</c:v>
                </c:pt>
                <c:pt idx="21">
                  <c:v>9.5090331507687136E-3</c:v>
                </c:pt>
                <c:pt idx="22">
                  <c:v>7.5885789164429392E-3</c:v>
                </c:pt>
                <c:pt idx="23">
                  <c:v>7.400299089548255E-3</c:v>
                </c:pt>
                <c:pt idx="24">
                  <c:v>2.4566566755027455E-4</c:v>
                </c:pt>
                <c:pt idx="25">
                  <c:v>-4.91320158936406E-3</c:v>
                </c:pt>
                <c:pt idx="26">
                  <c:v>-1.0185036742415207E-2</c:v>
                </c:pt>
                <c:pt idx="27">
                  <c:v>-1.2218458872877789E-2</c:v>
                </c:pt>
                <c:pt idx="28">
                  <c:v>-1.6586550856834456E-2</c:v>
                </c:pt>
                <c:pt idx="29">
                  <c:v>-2.4682583413305856E-2</c:v>
                </c:pt>
                <c:pt idx="30">
                  <c:v>-2.5511014651642461E-2</c:v>
                </c:pt>
                <c:pt idx="31">
                  <c:v>-2.5962886236189704E-2</c:v>
                </c:pt>
                <c:pt idx="32">
                  <c:v>-2.6188822028463322E-2</c:v>
                </c:pt>
                <c:pt idx="33">
                  <c:v>-2.905067539726252E-2</c:v>
                </c:pt>
                <c:pt idx="34">
                  <c:v>-2.9728482774083381E-2</c:v>
                </c:pt>
                <c:pt idx="35">
                  <c:v>-3.0481602081662111E-2</c:v>
                </c:pt>
                <c:pt idx="36">
                  <c:v>-3.1159409458482973E-2</c:v>
                </c:pt>
                <c:pt idx="37">
                  <c:v>-3.4171886688797913E-2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15A-4052-A458-AAF51862DE1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6">
                  <c:v>-3.4409999999988941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15A-4052-A458-AAF51862D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745600"/>
        <c:axId val="1"/>
      </c:scatterChart>
      <c:valAx>
        <c:axId val="845745600"/>
        <c:scaling>
          <c:orientation val="minMax"/>
          <c:max val="1400"/>
          <c:min val="6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36405461755098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7456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13616084059144"/>
          <c:y val="0.92000129214617399"/>
          <c:w val="0.8872319069569039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FO Ori - O-C Diagr.</a:t>
            </a:r>
          </a:p>
        </c:rich>
      </c:tx>
      <c:layout>
        <c:manualLayout>
          <c:xMode val="edge"/>
          <c:yMode val="edge"/>
          <c:x val="0.38079504962541932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0606867794511"/>
          <c:y val="0.14723926380368099"/>
          <c:w val="0.8195370863652201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69-4805-B868-36033C02D5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-4.0120000001479639E-2</c:v>
                </c:pt>
                <c:pt idx="1">
                  <c:v>-5.6919999999081483E-2</c:v>
                </c:pt>
                <c:pt idx="2">
                  <c:v>-4.0919999999459833E-2</c:v>
                </c:pt>
                <c:pt idx="3">
                  <c:v>4.8500000000785803E-2</c:v>
                </c:pt>
                <c:pt idx="4">
                  <c:v>5.6500000002415618E-2</c:v>
                </c:pt>
                <c:pt idx="5">
                  <c:v>-0.15639999999984866</c:v>
                </c:pt>
                <c:pt idx="6">
                  <c:v>-0.11999999999898137</c:v>
                </c:pt>
                <c:pt idx="7">
                  <c:v>0.14671999999700347</c:v>
                </c:pt>
                <c:pt idx="8">
                  <c:v>0.18971999999848776</c:v>
                </c:pt>
                <c:pt idx="9">
                  <c:v>8.9200000002165325E-3</c:v>
                </c:pt>
                <c:pt idx="10">
                  <c:v>0.13461999999708496</c:v>
                </c:pt>
                <c:pt idx="11">
                  <c:v>2.6499999999941792E-2</c:v>
                </c:pt>
                <c:pt idx="12">
                  <c:v>-1.7099999997299165E-2</c:v>
                </c:pt>
                <c:pt idx="13">
                  <c:v>-2.0000000004074536E-3</c:v>
                </c:pt>
                <c:pt idx="15">
                  <c:v>7.9999999979918357E-3</c:v>
                </c:pt>
                <c:pt idx="16">
                  <c:v>9.8000000070896931E-4</c:v>
                </c:pt>
                <c:pt idx="17">
                  <c:v>-4.6199999997043051E-3</c:v>
                </c:pt>
                <c:pt idx="18">
                  <c:v>1.1939999996684492E-2</c:v>
                </c:pt>
                <c:pt idx="19">
                  <c:v>1.2060000000928994E-2</c:v>
                </c:pt>
                <c:pt idx="20">
                  <c:v>-1.0200000004260801E-2</c:v>
                </c:pt>
                <c:pt idx="21">
                  <c:v>2.5999999925261363E-3</c:v>
                </c:pt>
                <c:pt idx="22">
                  <c:v>0.28901999999652617</c:v>
                </c:pt>
                <c:pt idx="23">
                  <c:v>-6.8800000008195639E-3</c:v>
                </c:pt>
                <c:pt idx="24">
                  <c:v>-2.7079999999841675E-2</c:v>
                </c:pt>
                <c:pt idx="25">
                  <c:v>2.6460000000952277E-2</c:v>
                </c:pt>
                <c:pt idx="26">
                  <c:v>-4.2739999997138511E-2</c:v>
                </c:pt>
                <c:pt idx="27">
                  <c:v>1.293999999325024E-2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69-4805-B868-36033C02D5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8">
                  <c:v>-4.3340000003809109E-2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69-4805-B868-36033C02D5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29">
                  <c:v>-4.3140000001585577E-2</c:v>
                </c:pt>
                <c:pt idx="30">
                  <c:v>2.0199999999022111E-2</c:v>
                </c:pt>
                <c:pt idx="31">
                  <c:v>-4.3260000005830079E-2</c:v>
                </c:pt>
                <c:pt idx="32">
                  <c:v>-4.4640000007348135E-2</c:v>
                </c:pt>
                <c:pt idx="33">
                  <c:v>-3.2319999998435378E-2</c:v>
                </c:pt>
                <c:pt idx="34">
                  <c:v>-4.5859999998356216E-2</c:v>
                </c:pt>
                <c:pt idx="35">
                  <c:v>-4.7860000006039627E-2</c:v>
                </c:pt>
                <c:pt idx="37">
                  <c:v>-4.920000000129221E-2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69-4805-B868-36033C02D5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69-4805-B868-36033C02D5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69-4805-B868-36033C02D5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4">
                    <c:v>0</c:v>
                  </c:pt>
                  <c:pt idx="28">
                    <c:v>0.01</c:v>
                  </c:pt>
                  <c:pt idx="29">
                    <c:v>2.9999999999999997E-4</c:v>
                  </c:pt>
                  <c:pt idx="31">
                    <c:v>4.0000000000000002E-4</c:v>
                  </c:pt>
                  <c:pt idx="32">
                    <c:v>1.4999999999999999E-4</c:v>
                  </c:pt>
                  <c:pt idx="33">
                    <c:v>5.0000000000000001E-3</c:v>
                  </c:pt>
                  <c:pt idx="34">
                    <c:v>2.0000000000000001E-4</c:v>
                  </c:pt>
                  <c:pt idx="35">
                    <c:v>6.9999999999999999E-4</c:v>
                  </c:pt>
                  <c:pt idx="36">
                    <c:v>5.0000000000000001E-4</c:v>
                  </c:pt>
                  <c:pt idx="37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69-4805-B868-36033C02D5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2.8939511286300075E-2</c:v>
                </c:pt>
                <c:pt idx="1">
                  <c:v>2.6680153363563872E-2</c:v>
                </c:pt>
                <c:pt idx="2">
                  <c:v>2.6680153363563872E-2</c:v>
                </c:pt>
                <c:pt idx="3">
                  <c:v>2.6642497398184931E-2</c:v>
                </c:pt>
                <c:pt idx="4">
                  <c:v>2.6642497398184931E-2</c:v>
                </c:pt>
                <c:pt idx="5">
                  <c:v>2.645421757129025E-2</c:v>
                </c:pt>
                <c:pt idx="6">
                  <c:v>2.5701098263711517E-2</c:v>
                </c:pt>
                <c:pt idx="7">
                  <c:v>2.5098602817648526E-2</c:v>
                </c:pt>
                <c:pt idx="8">
                  <c:v>2.5098602817648526E-2</c:v>
                </c:pt>
                <c:pt idx="9">
                  <c:v>2.2839244894912319E-2</c:v>
                </c:pt>
                <c:pt idx="10">
                  <c:v>1.9638487837702698E-2</c:v>
                </c:pt>
                <c:pt idx="11">
                  <c:v>1.9111304322397583E-2</c:v>
                </c:pt>
                <c:pt idx="12">
                  <c:v>1.8358185014818847E-2</c:v>
                </c:pt>
                <c:pt idx="13">
                  <c:v>1.6287106918977327E-2</c:v>
                </c:pt>
                <c:pt idx="14">
                  <c:v>1.6287106918977327E-2</c:v>
                </c:pt>
                <c:pt idx="15">
                  <c:v>1.6287106918977327E-2</c:v>
                </c:pt>
                <c:pt idx="16">
                  <c:v>1.557164357677753E-2</c:v>
                </c:pt>
                <c:pt idx="17">
                  <c:v>1.4818524269198795E-2</c:v>
                </c:pt>
                <c:pt idx="18">
                  <c:v>1.4140716892377933E-2</c:v>
                </c:pt>
                <c:pt idx="19">
                  <c:v>1.278510213873621E-2</c:v>
                </c:pt>
                <c:pt idx="20">
                  <c:v>1.1015271765926184E-2</c:v>
                </c:pt>
                <c:pt idx="21">
                  <c:v>9.5090331507687136E-3</c:v>
                </c:pt>
                <c:pt idx="22">
                  <c:v>7.5885789164429392E-3</c:v>
                </c:pt>
                <c:pt idx="23">
                  <c:v>7.400299089548255E-3</c:v>
                </c:pt>
                <c:pt idx="24">
                  <c:v>2.4566566755027455E-4</c:v>
                </c:pt>
                <c:pt idx="25">
                  <c:v>-4.91320158936406E-3</c:v>
                </c:pt>
                <c:pt idx="26">
                  <c:v>-1.0185036742415207E-2</c:v>
                </c:pt>
                <c:pt idx="27">
                  <c:v>-1.2218458872877789E-2</c:v>
                </c:pt>
                <c:pt idx="28">
                  <c:v>-1.6586550856834456E-2</c:v>
                </c:pt>
                <c:pt idx="29">
                  <c:v>-2.4682583413305856E-2</c:v>
                </c:pt>
                <c:pt idx="30">
                  <c:v>-2.5511014651642461E-2</c:v>
                </c:pt>
                <c:pt idx="31">
                  <c:v>-2.5962886236189704E-2</c:v>
                </c:pt>
                <c:pt idx="32">
                  <c:v>-2.6188822028463322E-2</c:v>
                </c:pt>
                <c:pt idx="33">
                  <c:v>-2.905067539726252E-2</c:v>
                </c:pt>
                <c:pt idx="34">
                  <c:v>-2.9728482774083381E-2</c:v>
                </c:pt>
                <c:pt idx="35">
                  <c:v>-3.0481602081662111E-2</c:v>
                </c:pt>
                <c:pt idx="36">
                  <c:v>-3.1159409458482973E-2</c:v>
                </c:pt>
                <c:pt idx="37">
                  <c:v>-3.4171886688797913E-2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69-4805-B868-36033C02D5B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-336</c:v>
                </c:pt>
                <c:pt idx="1">
                  <c:v>-276</c:v>
                </c:pt>
                <c:pt idx="2">
                  <c:v>-276</c:v>
                </c:pt>
                <c:pt idx="3">
                  <c:v>-275</c:v>
                </c:pt>
                <c:pt idx="4">
                  <c:v>-275</c:v>
                </c:pt>
                <c:pt idx="5">
                  <c:v>-270</c:v>
                </c:pt>
                <c:pt idx="6">
                  <c:v>-250</c:v>
                </c:pt>
                <c:pt idx="7">
                  <c:v>-234</c:v>
                </c:pt>
                <c:pt idx="8">
                  <c:v>-234</c:v>
                </c:pt>
                <c:pt idx="9">
                  <c:v>-174</c:v>
                </c:pt>
                <c:pt idx="10">
                  <c:v>-89</c:v>
                </c:pt>
                <c:pt idx="11">
                  <c:v>-75</c:v>
                </c:pt>
                <c:pt idx="12">
                  <c:v>-55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</c:v>
                </c:pt>
                <c:pt idx="17">
                  <c:v>39</c:v>
                </c:pt>
                <c:pt idx="18">
                  <c:v>57</c:v>
                </c:pt>
                <c:pt idx="19">
                  <c:v>93</c:v>
                </c:pt>
                <c:pt idx="20">
                  <c:v>140</c:v>
                </c:pt>
                <c:pt idx="21">
                  <c:v>180</c:v>
                </c:pt>
                <c:pt idx="22">
                  <c:v>231</c:v>
                </c:pt>
                <c:pt idx="23">
                  <c:v>236</c:v>
                </c:pt>
                <c:pt idx="24">
                  <c:v>426</c:v>
                </c:pt>
                <c:pt idx="25">
                  <c:v>563</c:v>
                </c:pt>
                <c:pt idx="26">
                  <c:v>703</c:v>
                </c:pt>
                <c:pt idx="27">
                  <c:v>757</c:v>
                </c:pt>
                <c:pt idx="28">
                  <c:v>873</c:v>
                </c:pt>
                <c:pt idx="29">
                  <c:v>1088</c:v>
                </c:pt>
                <c:pt idx="30">
                  <c:v>1110</c:v>
                </c:pt>
                <c:pt idx="31">
                  <c:v>1122</c:v>
                </c:pt>
                <c:pt idx="32">
                  <c:v>1128</c:v>
                </c:pt>
                <c:pt idx="33">
                  <c:v>1204</c:v>
                </c:pt>
                <c:pt idx="34">
                  <c:v>1222</c:v>
                </c:pt>
                <c:pt idx="35">
                  <c:v>1242</c:v>
                </c:pt>
                <c:pt idx="36">
                  <c:v>1260</c:v>
                </c:pt>
                <c:pt idx="37">
                  <c:v>1340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6">
                  <c:v>-3.4409999999988941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869-4805-B868-36033C02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1840"/>
        <c:axId val="1"/>
      </c:scatterChart>
      <c:valAx>
        <c:axId val="721391840"/>
        <c:scaling>
          <c:orientation val="minMax"/>
          <c:max val="1400"/>
          <c:min val="-6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2352644661137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2450331125827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61606785906727"/>
          <c:y val="0.92024539877300615"/>
          <c:w val="0.88576228468130225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333375</xdr:colOff>
      <xdr:row>18</xdr:row>
      <xdr:rowOff>76200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D3319E34-535E-080E-286C-0C844AB00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466725</xdr:colOff>
      <xdr:row>0</xdr:row>
      <xdr:rowOff>0</xdr:rowOff>
    </xdr:from>
    <xdr:to>
      <xdr:col>27</xdr:col>
      <xdr:colOff>28575</xdr:colOff>
      <xdr:row>18</xdr:row>
      <xdr:rowOff>47625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7663E96-0E9C-314E-E219-BEE31B503F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3" Type="http://schemas.openxmlformats.org/officeDocument/2006/relationships/hyperlink" Target="http://www.konkoly.hu/cgi-bin/IBVS?5577" TargetMode="External"/><Relationship Id="rId7" Type="http://schemas.openxmlformats.org/officeDocument/2006/relationships/hyperlink" Target="http://www.konkoly.hu/cgi-bin/IBVS?5972" TargetMode="External"/><Relationship Id="rId2" Type="http://schemas.openxmlformats.org/officeDocument/2006/relationships/hyperlink" Target="http://www.bav-astro.de/sfs/BAVM_link.php?BAVMnr=157" TargetMode="External"/><Relationship Id="rId1" Type="http://schemas.openxmlformats.org/officeDocument/2006/relationships/hyperlink" Target="http://www.konkoly.hu/cgi-bin/IBVS?5357" TargetMode="External"/><Relationship Id="rId6" Type="http://schemas.openxmlformats.org/officeDocument/2006/relationships/hyperlink" Target="http://www.konkoly.hu/cgi-bin/IBVS?5972" TargetMode="External"/><Relationship Id="rId5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var.astro.cz/oejv/issues/oejv0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tabSelected="1"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s="39" customFormat="1" ht="12.95" customHeight="1" x14ac:dyDescent="0.2">
      <c r="A2" s="39" t="s">
        <v>24</v>
      </c>
      <c r="B2" s="40" t="s">
        <v>40</v>
      </c>
    </row>
    <row r="3" spans="1:6" s="39" customFormat="1" ht="12.95" customHeight="1" x14ac:dyDescent="0.2">
      <c r="B3" s="41"/>
    </row>
    <row r="4" spans="1:6" s="39" customFormat="1" ht="12.95" customHeight="1" thickTop="1" thickBot="1" x14ac:dyDescent="0.25">
      <c r="A4" s="42" t="s">
        <v>0</v>
      </c>
      <c r="B4" s="41"/>
      <c r="C4" s="43">
        <v>31820.627</v>
      </c>
      <c r="D4" s="44">
        <v>18.80058</v>
      </c>
    </row>
    <row r="5" spans="1:6" s="39" customFormat="1" ht="12.95" customHeight="1" thickTop="1" x14ac:dyDescent="0.2">
      <c r="A5" s="45" t="s">
        <v>44</v>
      </c>
      <c r="C5" s="46">
        <v>-9.5</v>
      </c>
      <c r="D5" s="39" t="s">
        <v>45</v>
      </c>
    </row>
    <row r="6" spans="1:6" s="39" customFormat="1" ht="12.95" customHeight="1" x14ac:dyDescent="0.2">
      <c r="A6" s="42" t="s">
        <v>1</v>
      </c>
      <c r="B6" s="41"/>
    </row>
    <row r="7" spans="1:6" s="39" customFormat="1" ht="12.95" customHeight="1" x14ac:dyDescent="0.2">
      <c r="A7" s="39" t="s">
        <v>2</v>
      </c>
      <c r="B7" s="41"/>
      <c r="C7" s="39">
        <f>+C4</f>
        <v>31820.627</v>
      </c>
    </row>
    <row r="8" spans="1:6" s="39" customFormat="1" ht="12.95" customHeight="1" x14ac:dyDescent="0.2">
      <c r="A8" s="39" t="s">
        <v>3</v>
      </c>
      <c r="B8" s="41"/>
      <c r="C8" s="39">
        <f>+D4</f>
        <v>18.80058</v>
      </c>
    </row>
    <row r="9" spans="1:6" s="39" customFormat="1" ht="12.95" customHeight="1" x14ac:dyDescent="0.2">
      <c r="A9" s="47" t="s">
        <v>49</v>
      </c>
      <c r="B9" s="48">
        <v>22</v>
      </c>
      <c r="C9" s="49" t="str">
        <f>"F"&amp;B9</f>
        <v>F22</v>
      </c>
      <c r="D9" s="50" t="str">
        <f>"G"&amp;B9</f>
        <v>G22</v>
      </c>
    </row>
    <row r="10" spans="1:6" s="39" customFormat="1" ht="12.95" customHeight="1" thickBot="1" x14ac:dyDescent="0.25">
      <c r="C10" s="51" t="s">
        <v>20</v>
      </c>
      <c r="D10" s="51" t="s">
        <v>21</v>
      </c>
    </row>
    <row r="11" spans="1:6" s="39" customFormat="1" ht="12.95" customHeight="1" x14ac:dyDescent="0.2">
      <c r="A11" s="39" t="s">
        <v>16</v>
      </c>
      <c r="C11" s="50">
        <f ca="1">INTERCEPT(INDIRECT($D$9):G992,INDIRECT($C$9):F992)</f>
        <v>1.6287106918977327E-2</v>
      </c>
      <c r="D11" s="41"/>
    </row>
    <row r="12" spans="1:6" s="39" customFormat="1" ht="12.95" customHeight="1" x14ac:dyDescent="0.2">
      <c r="A12" s="39" t="s">
        <v>17</v>
      </c>
      <c r="C12" s="50">
        <f ca="1">SLOPE(INDIRECT($D$9):G992,INDIRECT($C$9):F992)</f>
        <v>-3.7655965378936748E-5</v>
      </c>
      <c r="D12" s="41"/>
    </row>
    <row r="13" spans="1:6" s="39" customFormat="1" ht="12.95" customHeight="1" x14ac:dyDescent="0.2">
      <c r="A13" s="39" t="s">
        <v>19</v>
      </c>
      <c r="C13" s="41" t="s">
        <v>14</v>
      </c>
    </row>
    <row r="14" spans="1:6" s="39" customFormat="1" ht="12.95" customHeight="1" x14ac:dyDescent="0.2"/>
    <row r="15" spans="1:6" s="39" customFormat="1" ht="12.95" customHeight="1" x14ac:dyDescent="0.2">
      <c r="A15" s="52" t="s">
        <v>18</v>
      </c>
      <c r="C15" s="53">
        <f ca="1">(C7+C11)+(C8+C12)*INT(MAX(F21:F3533))</f>
        <v>57013.370028113313</v>
      </c>
      <c r="E15" s="54" t="s">
        <v>51</v>
      </c>
      <c r="F15" s="46">
        <v>1</v>
      </c>
    </row>
    <row r="16" spans="1:6" s="39" customFormat="1" ht="12.95" customHeight="1" x14ac:dyDescent="0.2">
      <c r="A16" s="42" t="s">
        <v>4</v>
      </c>
      <c r="C16" s="55">
        <f ca="1">+C8+C12</f>
        <v>18.800542344034621</v>
      </c>
      <c r="E16" s="54" t="s">
        <v>46</v>
      </c>
      <c r="F16" s="56">
        <f ca="1">NOW()+15018.5+$C$5/24</f>
        <v>60368.806064699071</v>
      </c>
    </row>
    <row r="17" spans="1:21" s="39" customFormat="1" ht="12.95" customHeight="1" thickBot="1" x14ac:dyDescent="0.25">
      <c r="A17" s="54" t="s">
        <v>42</v>
      </c>
      <c r="C17" s="39">
        <f>COUNT(C21:C2191)</f>
        <v>38</v>
      </c>
      <c r="E17" s="54" t="s">
        <v>52</v>
      </c>
      <c r="F17" s="56">
        <f ca="1">ROUND(2*(F16-$C$7)/$C$8,0)/2+F15</f>
        <v>1519.5</v>
      </c>
    </row>
    <row r="18" spans="1:21" s="39" customFormat="1" ht="12.95" customHeight="1" thickTop="1" thickBot="1" x14ac:dyDescent="0.25">
      <c r="A18" s="42" t="s">
        <v>5</v>
      </c>
      <c r="C18" s="43">
        <f ca="1">+C15</f>
        <v>57013.370028113313</v>
      </c>
      <c r="D18" s="44">
        <f ca="1">+C16</f>
        <v>18.800542344034621</v>
      </c>
      <c r="E18" s="54" t="s">
        <v>47</v>
      </c>
      <c r="F18" s="50">
        <f ca="1">ROUND(2*(F16-$C$15)/$C$16,0)/2+F15</f>
        <v>179.5</v>
      </c>
    </row>
    <row r="19" spans="1:21" s="39" customFormat="1" ht="12.95" customHeight="1" thickTop="1" x14ac:dyDescent="0.2">
      <c r="B19" s="41"/>
      <c r="E19" s="54" t="s">
        <v>48</v>
      </c>
      <c r="F19" s="57">
        <f ca="1">+$C$15+$C$16*F18-15018.5-$C$5/24</f>
        <v>45369.963212200862</v>
      </c>
    </row>
    <row r="20" spans="1:21" s="39" customFormat="1" ht="12.95" customHeight="1" thickBot="1" x14ac:dyDescent="0.25">
      <c r="A20" s="51" t="s">
        <v>6</v>
      </c>
      <c r="B20" s="51" t="s">
        <v>7</v>
      </c>
      <c r="C20" s="51" t="s">
        <v>8</v>
      </c>
      <c r="D20" s="51" t="s">
        <v>13</v>
      </c>
      <c r="E20" s="51" t="s">
        <v>9</v>
      </c>
      <c r="F20" s="51" t="s">
        <v>10</v>
      </c>
      <c r="G20" s="51" t="s">
        <v>11</v>
      </c>
      <c r="H20" s="58" t="s">
        <v>12</v>
      </c>
      <c r="I20" s="58" t="s">
        <v>67</v>
      </c>
      <c r="J20" s="58" t="s">
        <v>61</v>
      </c>
      <c r="K20" s="58" t="s">
        <v>59</v>
      </c>
      <c r="L20" s="58" t="s">
        <v>25</v>
      </c>
      <c r="M20" s="58" t="s">
        <v>26</v>
      </c>
      <c r="N20" s="58" t="s">
        <v>27</v>
      </c>
      <c r="O20" s="58" t="s">
        <v>23</v>
      </c>
      <c r="P20" s="59" t="s">
        <v>22</v>
      </c>
      <c r="Q20" s="51" t="s">
        <v>15</v>
      </c>
      <c r="U20" s="60" t="s">
        <v>212</v>
      </c>
    </row>
    <row r="21" spans="1:21" s="39" customFormat="1" ht="12.95" customHeight="1" x14ac:dyDescent="0.2">
      <c r="A21" s="61" t="s">
        <v>74</v>
      </c>
      <c r="B21" s="62" t="s">
        <v>38</v>
      </c>
      <c r="C21" s="63">
        <v>25503.592000000001</v>
      </c>
      <c r="D21" s="4"/>
      <c r="E21" s="39">
        <f t="shared" ref="E21:E58" si="0">+(C21-C$7)/C$8</f>
        <v>-336.00213397671774</v>
      </c>
      <c r="F21" s="39">
        <f t="shared" ref="F21:F58" si="1">ROUND(2*E21,0)/2</f>
        <v>-336</v>
      </c>
      <c r="G21" s="39">
        <f t="shared" ref="G21:G56" si="2">+C21-(C$7+F21*C$8)</f>
        <v>-4.0120000001479639E-2</v>
      </c>
      <c r="I21" s="39">
        <f>+G21</f>
        <v>-4.0120000001479639E-2</v>
      </c>
      <c r="O21" s="39">
        <f t="shared" ref="O21:O58" ca="1" si="3">+C$11+C$12*$F21</f>
        <v>2.8939511286300075E-2</v>
      </c>
      <c r="Q21" s="64">
        <f t="shared" ref="Q21:Q58" si="4">+C21-15018.5</f>
        <v>10485.092000000001</v>
      </c>
    </row>
    <row r="22" spans="1:21" s="39" customFormat="1" ht="12.95" customHeight="1" x14ac:dyDescent="0.2">
      <c r="A22" s="61" t="s">
        <v>74</v>
      </c>
      <c r="B22" s="62" t="s">
        <v>38</v>
      </c>
      <c r="C22" s="63">
        <v>26631.61</v>
      </c>
      <c r="D22" s="65"/>
      <c r="E22" s="39">
        <f t="shared" si="0"/>
        <v>-276.00302756617083</v>
      </c>
      <c r="F22" s="39">
        <f t="shared" si="1"/>
        <v>-276</v>
      </c>
      <c r="G22" s="39">
        <f t="shared" si="2"/>
        <v>-5.6919999999081483E-2</v>
      </c>
      <c r="I22" s="39">
        <f>+G22</f>
        <v>-5.6919999999081483E-2</v>
      </c>
      <c r="O22" s="39">
        <f t="shared" ca="1" si="3"/>
        <v>2.6680153363563872E-2</v>
      </c>
      <c r="Q22" s="64">
        <f t="shared" si="4"/>
        <v>11613.11</v>
      </c>
    </row>
    <row r="23" spans="1:21" s="39" customFormat="1" ht="12.95" customHeight="1" x14ac:dyDescent="0.2">
      <c r="A23" s="61" t="s">
        <v>74</v>
      </c>
      <c r="B23" s="62" t="s">
        <v>38</v>
      </c>
      <c r="C23" s="63">
        <v>26631.626</v>
      </c>
      <c r="D23" s="65"/>
      <c r="E23" s="39">
        <f t="shared" si="0"/>
        <v>-276.00217652859646</v>
      </c>
      <c r="F23" s="39">
        <f t="shared" si="1"/>
        <v>-276</v>
      </c>
      <c r="G23" s="39">
        <f t="shared" si="2"/>
        <v>-4.0919999999459833E-2</v>
      </c>
      <c r="I23" s="39">
        <f>+G23</f>
        <v>-4.0919999999459833E-2</v>
      </c>
      <c r="O23" s="39">
        <f t="shared" ca="1" si="3"/>
        <v>2.6680153363563872E-2</v>
      </c>
      <c r="Q23" s="64">
        <f t="shared" si="4"/>
        <v>11613.126</v>
      </c>
    </row>
    <row r="24" spans="1:21" s="39" customFormat="1" ht="12.95" customHeight="1" x14ac:dyDescent="0.2">
      <c r="A24" s="61" t="s">
        <v>74</v>
      </c>
      <c r="B24" s="62" t="s">
        <v>38</v>
      </c>
      <c r="C24" s="63">
        <v>26650.516</v>
      </c>
      <c r="D24" s="65"/>
      <c r="E24" s="39">
        <f t="shared" si="0"/>
        <v>-274.99742029235273</v>
      </c>
      <c r="F24" s="39">
        <f t="shared" si="1"/>
        <v>-275</v>
      </c>
      <c r="G24" s="39">
        <f t="shared" si="2"/>
        <v>4.8500000000785803E-2</v>
      </c>
      <c r="I24" s="39">
        <f>+G24</f>
        <v>4.8500000000785803E-2</v>
      </c>
      <c r="O24" s="39">
        <f t="shared" ca="1" si="3"/>
        <v>2.6642497398184931E-2</v>
      </c>
      <c r="Q24" s="64">
        <f t="shared" si="4"/>
        <v>11632.016</v>
      </c>
    </row>
    <row r="25" spans="1:21" s="39" customFormat="1" ht="12.95" customHeight="1" x14ac:dyDescent="0.2">
      <c r="A25" s="61" t="s">
        <v>74</v>
      </c>
      <c r="B25" s="62" t="s">
        <v>38</v>
      </c>
      <c r="C25" s="63">
        <v>26650.524000000001</v>
      </c>
      <c r="D25" s="65"/>
      <c r="E25" s="39">
        <f t="shared" si="0"/>
        <v>-274.99699477356546</v>
      </c>
      <c r="F25" s="39">
        <f t="shared" si="1"/>
        <v>-275</v>
      </c>
      <c r="G25" s="39">
        <f t="shared" si="2"/>
        <v>5.6500000002415618E-2</v>
      </c>
      <c r="I25" s="39">
        <f>+G25</f>
        <v>5.6500000002415618E-2</v>
      </c>
      <c r="O25" s="39">
        <f t="shared" ca="1" si="3"/>
        <v>2.6642497398184931E-2</v>
      </c>
      <c r="Q25" s="64">
        <f t="shared" si="4"/>
        <v>11632.024000000001</v>
      </c>
    </row>
    <row r="26" spans="1:21" s="39" customFormat="1" ht="12.95" customHeight="1" x14ac:dyDescent="0.2">
      <c r="A26" s="61" t="s">
        <v>74</v>
      </c>
      <c r="B26" s="62" t="s">
        <v>38</v>
      </c>
      <c r="C26" s="63">
        <v>26744.313999999998</v>
      </c>
      <c r="D26" s="65"/>
      <c r="E26" s="39">
        <f t="shared" si="0"/>
        <v>-270.00831889228959</v>
      </c>
      <c r="F26" s="39">
        <f t="shared" si="1"/>
        <v>-270</v>
      </c>
      <c r="G26" s="39">
        <f t="shared" si="2"/>
        <v>-0.15639999999984866</v>
      </c>
      <c r="I26" s="39">
        <f>+G26</f>
        <v>-0.15639999999984866</v>
      </c>
      <c r="O26" s="39">
        <f t="shared" ca="1" si="3"/>
        <v>2.645421757129025E-2</v>
      </c>
      <c r="Q26" s="64">
        <f t="shared" si="4"/>
        <v>11725.813999999998</v>
      </c>
    </row>
    <row r="27" spans="1:21" s="39" customFormat="1" ht="12.95" customHeight="1" x14ac:dyDescent="0.2">
      <c r="A27" s="61" t="s">
        <v>74</v>
      </c>
      <c r="B27" s="62" t="s">
        <v>38</v>
      </c>
      <c r="C27" s="63">
        <v>27120.362000000001</v>
      </c>
      <c r="D27" s="65"/>
      <c r="E27" s="39">
        <f t="shared" si="0"/>
        <v>-250.00638278180776</v>
      </c>
      <c r="F27" s="39">
        <f t="shared" si="1"/>
        <v>-250</v>
      </c>
      <c r="G27" s="39">
        <f t="shared" si="2"/>
        <v>-0.11999999999898137</v>
      </c>
      <c r="I27" s="39">
        <f>+G27</f>
        <v>-0.11999999999898137</v>
      </c>
      <c r="O27" s="39">
        <f t="shared" ca="1" si="3"/>
        <v>2.5701098263711517E-2</v>
      </c>
      <c r="Q27" s="64">
        <f t="shared" si="4"/>
        <v>12101.862000000001</v>
      </c>
    </row>
    <row r="28" spans="1:21" s="39" customFormat="1" ht="12.95" customHeight="1" x14ac:dyDescent="0.2">
      <c r="A28" s="61" t="s">
        <v>74</v>
      </c>
      <c r="B28" s="62" t="s">
        <v>38</v>
      </c>
      <c r="C28" s="63">
        <v>27421.437999999998</v>
      </c>
      <c r="D28" s="65"/>
      <c r="E28" s="39">
        <f t="shared" si="0"/>
        <v>-233.99219598544312</v>
      </c>
      <c r="F28" s="39">
        <f t="shared" si="1"/>
        <v>-234</v>
      </c>
      <c r="G28" s="39">
        <f t="shared" si="2"/>
        <v>0.14671999999700347</v>
      </c>
      <c r="I28" s="39">
        <f>+G28</f>
        <v>0.14671999999700347</v>
      </c>
      <c r="O28" s="39">
        <f t="shared" ca="1" si="3"/>
        <v>2.5098602817648526E-2</v>
      </c>
      <c r="Q28" s="64">
        <f t="shared" si="4"/>
        <v>12402.937999999998</v>
      </c>
    </row>
    <row r="29" spans="1:21" s="39" customFormat="1" ht="12.95" customHeight="1" x14ac:dyDescent="0.2">
      <c r="A29" s="61" t="s">
        <v>74</v>
      </c>
      <c r="B29" s="62" t="s">
        <v>38</v>
      </c>
      <c r="C29" s="63">
        <v>27421.481</v>
      </c>
      <c r="D29" s="65"/>
      <c r="E29" s="39">
        <f t="shared" si="0"/>
        <v>-233.9899088219619</v>
      </c>
      <c r="F29" s="39">
        <f t="shared" si="1"/>
        <v>-234</v>
      </c>
      <c r="G29" s="39">
        <f t="shared" si="2"/>
        <v>0.18971999999848776</v>
      </c>
      <c r="I29" s="39">
        <f>+G29</f>
        <v>0.18971999999848776</v>
      </c>
      <c r="O29" s="39">
        <f t="shared" ca="1" si="3"/>
        <v>2.5098602817648526E-2</v>
      </c>
      <c r="Q29" s="64">
        <f t="shared" si="4"/>
        <v>12402.981</v>
      </c>
    </row>
    <row r="30" spans="1:21" s="39" customFormat="1" ht="12.95" customHeight="1" x14ac:dyDescent="0.2">
      <c r="A30" s="61" t="s">
        <v>105</v>
      </c>
      <c r="B30" s="62" t="s">
        <v>38</v>
      </c>
      <c r="C30" s="63">
        <v>28549.334999999999</v>
      </c>
      <c r="D30" s="65"/>
      <c r="E30" s="39">
        <f t="shared" si="0"/>
        <v>-173.99952554655235</v>
      </c>
      <c r="F30" s="39">
        <f t="shared" si="1"/>
        <v>-174</v>
      </c>
      <c r="G30" s="39">
        <f t="shared" si="2"/>
        <v>8.9200000002165325E-3</v>
      </c>
      <c r="I30" s="39">
        <f>+G30</f>
        <v>8.9200000002165325E-3</v>
      </c>
      <c r="O30" s="39">
        <f t="shared" ca="1" si="3"/>
        <v>2.2839244894912319E-2</v>
      </c>
      <c r="Q30" s="64">
        <f t="shared" si="4"/>
        <v>13530.834999999999</v>
      </c>
    </row>
    <row r="31" spans="1:21" s="39" customFormat="1" ht="12.95" customHeight="1" x14ac:dyDescent="0.2">
      <c r="A31" s="61" t="s">
        <v>110</v>
      </c>
      <c r="B31" s="62" t="s">
        <v>38</v>
      </c>
      <c r="C31" s="63">
        <v>30147.51</v>
      </c>
      <c r="D31" s="65"/>
      <c r="E31" s="39">
        <f t="shared" si="0"/>
        <v>-88.992839582608724</v>
      </c>
      <c r="F31" s="39">
        <f t="shared" si="1"/>
        <v>-89</v>
      </c>
      <c r="G31" s="39">
        <f t="shared" si="2"/>
        <v>0.13461999999708496</v>
      </c>
      <c r="I31" s="39">
        <f>+G31</f>
        <v>0.13461999999708496</v>
      </c>
      <c r="O31" s="39">
        <f t="shared" ca="1" si="3"/>
        <v>1.9638487837702698E-2</v>
      </c>
      <c r="Q31" s="64">
        <f t="shared" si="4"/>
        <v>15129.009999999998</v>
      </c>
    </row>
    <row r="32" spans="1:21" s="39" customFormat="1" ht="12.95" customHeight="1" x14ac:dyDescent="0.2">
      <c r="A32" s="61" t="s">
        <v>115</v>
      </c>
      <c r="B32" s="62" t="s">
        <v>38</v>
      </c>
      <c r="C32" s="63">
        <v>30410.61</v>
      </c>
      <c r="D32" s="65"/>
      <c r="E32" s="39">
        <f t="shared" si="0"/>
        <v>-74.998590469017429</v>
      </c>
      <c r="F32" s="39">
        <f t="shared" si="1"/>
        <v>-75</v>
      </c>
      <c r="G32" s="39">
        <f t="shared" si="2"/>
        <v>2.6499999999941792E-2</v>
      </c>
      <c r="I32" s="39">
        <f>+G32</f>
        <v>2.6499999999941792E-2</v>
      </c>
      <c r="O32" s="39">
        <f t="shared" ca="1" si="3"/>
        <v>1.9111304322397583E-2</v>
      </c>
      <c r="Q32" s="64">
        <f t="shared" si="4"/>
        <v>15392.11</v>
      </c>
    </row>
    <row r="33" spans="1:32" s="39" customFormat="1" ht="12.95" customHeight="1" x14ac:dyDescent="0.2">
      <c r="A33" s="61" t="s">
        <v>119</v>
      </c>
      <c r="B33" s="62" t="s">
        <v>38</v>
      </c>
      <c r="C33" s="63">
        <v>30786.578000000001</v>
      </c>
      <c r="D33" s="65"/>
      <c r="E33" s="39">
        <f t="shared" si="0"/>
        <v>-55.000909546407563</v>
      </c>
      <c r="F33" s="39">
        <f t="shared" si="1"/>
        <v>-55</v>
      </c>
      <c r="G33" s="39">
        <f t="shared" si="2"/>
        <v>-1.7099999997299165E-2</v>
      </c>
      <c r="I33" s="39">
        <f>+G33</f>
        <v>-1.7099999997299165E-2</v>
      </c>
      <c r="O33" s="39">
        <f t="shared" ca="1" si="3"/>
        <v>1.8358185014818847E-2</v>
      </c>
      <c r="Q33" s="64">
        <f t="shared" si="4"/>
        <v>15768.078000000001</v>
      </c>
    </row>
    <row r="34" spans="1:32" x14ac:dyDescent="0.2">
      <c r="A34" s="36" t="s">
        <v>115</v>
      </c>
      <c r="B34" s="37" t="s">
        <v>38</v>
      </c>
      <c r="C34" s="38">
        <v>31820.625</v>
      </c>
      <c r="D34" s="6"/>
      <c r="E34">
        <f t="shared" si="0"/>
        <v>-1.0637969681826058E-4</v>
      </c>
      <c r="F34">
        <f t="shared" si="1"/>
        <v>0</v>
      </c>
      <c r="G34">
        <f t="shared" si="2"/>
        <v>-2.0000000004074536E-3</v>
      </c>
      <c r="I34">
        <f>+G34</f>
        <v>-2.0000000004074536E-3</v>
      </c>
      <c r="O34">
        <f t="shared" ca="1" si="3"/>
        <v>1.6287106918977327E-2</v>
      </c>
      <c r="Q34" s="2">
        <f t="shared" si="4"/>
        <v>16802.125</v>
      </c>
    </row>
    <row r="35" spans="1:32" x14ac:dyDescent="0.2">
      <c r="A35" t="s">
        <v>12</v>
      </c>
      <c r="C35" s="7">
        <v>31820.627</v>
      </c>
      <c r="D35" s="7" t="s">
        <v>14</v>
      </c>
      <c r="E35">
        <f t="shared" si="0"/>
        <v>0</v>
      </c>
      <c r="F35">
        <f t="shared" si="1"/>
        <v>0</v>
      </c>
      <c r="G35">
        <f t="shared" si="2"/>
        <v>0</v>
      </c>
      <c r="H35">
        <f>+G35</f>
        <v>0</v>
      </c>
      <c r="O35">
        <f t="shared" ca="1" si="3"/>
        <v>1.6287106918977327E-2</v>
      </c>
      <c r="Q35" s="2">
        <f t="shared" si="4"/>
        <v>16802.127</v>
      </c>
    </row>
    <row r="36" spans="1:32" x14ac:dyDescent="0.2">
      <c r="A36" s="36" t="s">
        <v>119</v>
      </c>
      <c r="B36" s="37" t="s">
        <v>38</v>
      </c>
      <c r="C36" s="38">
        <v>31820.634999999998</v>
      </c>
      <c r="D36" s="6"/>
      <c r="E36">
        <f t="shared" si="0"/>
        <v>4.2551878707953881E-4</v>
      </c>
      <c r="F36">
        <f t="shared" si="1"/>
        <v>0</v>
      </c>
      <c r="G36">
        <f t="shared" si="2"/>
        <v>7.9999999979918357E-3</v>
      </c>
      <c r="I36">
        <f>+G36</f>
        <v>7.9999999979918357E-3</v>
      </c>
      <c r="O36">
        <f t="shared" ca="1" si="3"/>
        <v>1.6287106918977327E-2</v>
      </c>
      <c r="Q36" s="2">
        <f t="shared" si="4"/>
        <v>16802.134999999998</v>
      </c>
    </row>
    <row r="37" spans="1:32" x14ac:dyDescent="0.2">
      <c r="A37" s="36" t="s">
        <v>119</v>
      </c>
      <c r="B37" s="37" t="s">
        <v>38</v>
      </c>
      <c r="C37" s="38">
        <v>32177.839</v>
      </c>
      <c r="D37" s="6"/>
      <c r="E37">
        <f t="shared" si="0"/>
        <v>19.000052126051404</v>
      </c>
      <c r="F37">
        <f t="shared" si="1"/>
        <v>19</v>
      </c>
      <c r="G37">
        <f t="shared" si="2"/>
        <v>9.8000000070896931E-4</v>
      </c>
      <c r="I37">
        <f>+G37</f>
        <v>9.8000000070896931E-4</v>
      </c>
      <c r="O37">
        <f t="shared" ca="1" si="3"/>
        <v>1.557164357677753E-2</v>
      </c>
      <c r="Q37" s="2">
        <f t="shared" si="4"/>
        <v>17159.339</v>
      </c>
    </row>
    <row r="38" spans="1:32" x14ac:dyDescent="0.2">
      <c r="A38" s="36" t="s">
        <v>115</v>
      </c>
      <c r="B38" s="37" t="s">
        <v>38</v>
      </c>
      <c r="C38" s="38">
        <v>32553.845000000001</v>
      </c>
      <c r="D38" s="6"/>
      <c r="E38">
        <f t="shared" si="0"/>
        <v>38.999754262900439</v>
      </c>
      <c r="F38">
        <f t="shared" si="1"/>
        <v>39</v>
      </c>
      <c r="G38">
        <f t="shared" si="2"/>
        <v>-4.6199999997043051E-3</v>
      </c>
      <c r="I38">
        <f>+G38</f>
        <v>-4.6199999997043051E-3</v>
      </c>
      <c r="O38">
        <f t="shared" ca="1" si="3"/>
        <v>1.4818524269198795E-2</v>
      </c>
      <c r="Q38" s="2">
        <f t="shared" si="4"/>
        <v>17535.345000000001</v>
      </c>
    </row>
    <row r="39" spans="1:32" x14ac:dyDescent="0.2">
      <c r="A39" s="36" t="s">
        <v>136</v>
      </c>
      <c r="B39" s="37" t="s">
        <v>38</v>
      </c>
      <c r="C39" s="38">
        <v>32892.271999999997</v>
      </c>
      <c r="D39" s="6"/>
      <c r="E39">
        <f t="shared" si="0"/>
        <v>57.000635086789707</v>
      </c>
      <c r="F39">
        <f t="shared" si="1"/>
        <v>57</v>
      </c>
      <c r="G39">
        <f t="shared" si="2"/>
        <v>1.1939999996684492E-2</v>
      </c>
      <c r="I39">
        <f>+G39</f>
        <v>1.1939999996684492E-2</v>
      </c>
      <c r="O39">
        <f t="shared" ca="1" si="3"/>
        <v>1.4140716892377933E-2</v>
      </c>
      <c r="Q39" s="2">
        <f t="shared" si="4"/>
        <v>17873.771999999997</v>
      </c>
    </row>
    <row r="40" spans="1:32" x14ac:dyDescent="0.2">
      <c r="A40" s="36" t="s">
        <v>115</v>
      </c>
      <c r="B40" s="37" t="s">
        <v>38</v>
      </c>
      <c r="C40" s="38">
        <v>33569.093000000001</v>
      </c>
      <c r="D40" s="6"/>
      <c r="E40">
        <f t="shared" si="0"/>
        <v>93.000641469571704</v>
      </c>
      <c r="F40">
        <f t="shared" si="1"/>
        <v>93</v>
      </c>
      <c r="G40">
        <f t="shared" si="2"/>
        <v>1.2060000000928994E-2</v>
      </c>
      <c r="I40">
        <f>+G40</f>
        <v>1.2060000000928994E-2</v>
      </c>
      <c r="O40">
        <f t="shared" ca="1" si="3"/>
        <v>1.278510213873621E-2</v>
      </c>
      <c r="Q40" s="2">
        <f t="shared" si="4"/>
        <v>18550.593000000001</v>
      </c>
    </row>
    <row r="41" spans="1:32" x14ac:dyDescent="0.2">
      <c r="A41" s="36" t="s">
        <v>115</v>
      </c>
      <c r="B41" s="37" t="s">
        <v>38</v>
      </c>
      <c r="C41" s="38">
        <v>34452.697999999997</v>
      </c>
      <c r="D41" s="6"/>
      <c r="E41">
        <f t="shared" si="0"/>
        <v>139.99945746354615</v>
      </c>
      <c r="F41">
        <f t="shared" si="1"/>
        <v>140</v>
      </c>
      <c r="G41">
        <f t="shared" si="2"/>
        <v>-1.0200000004260801E-2</v>
      </c>
      <c r="I41">
        <f>+G41</f>
        <v>-1.0200000004260801E-2</v>
      </c>
      <c r="O41">
        <f t="shared" ca="1" si="3"/>
        <v>1.1015271765926184E-2</v>
      </c>
      <c r="Q41" s="2">
        <f t="shared" si="4"/>
        <v>19434.197999999997</v>
      </c>
    </row>
    <row r="42" spans="1:32" x14ac:dyDescent="0.2">
      <c r="A42" s="36" t="s">
        <v>115</v>
      </c>
      <c r="B42" s="37" t="s">
        <v>38</v>
      </c>
      <c r="C42" s="38">
        <v>35204.733999999997</v>
      </c>
      <c r="D42" s="6"/>
      <c r="E42">
        <f t="shared" si="0"/>
        <v>180.00013829360563</v>
      </c>
      <c r="F42">
        <f t="shared" si="1"/>
        <v>180</v>
      </c>
      <c r="G42">
        <f t="shared" si="2"/>
        <v>2.5999999925261363E-3</v>
      </c>
      <c r="I42">
        <f>+G42</f>
        <v>2.5999999925261363E-3</v>
      </c>
      <c r="O42">
        <f t="shared" ca="1" si="3"/>
        <v>9.5090331507687136E-3</v>
      </c>
      <c r="Q42" s="2">
        <f t="shared" si="4"/>
        <v>20186.233999999997</v>
      </c>
    </row>
    <row r="43" spans="1:32" x14ac:dyDescent="0.2">
      <c r="A43" s="36" t="s">
        <v>148</v>
      </c>
      <c r="B43" s="37" t="s">
        <v>38</v>
      </c>
      <c r="C43" s="38">
        <v>36163.85</v>
      </c>
      <c r="D43" s="6"/>
      <c r="E43">
        <f t="shared" si="0"/>
        <v>231.01537292998398</v>
      </c>
      <c r="F43">
        <f t="shared" si="1"/>
        <v>231</v>
      </c>
      <c r="G43">
        <f t="shared" si="2"/>
        <v>0.28901999999652617</v>
      </c>
      <c r="I43">
        <f>+G43</f>
        <v>0.28901999999652617</v>
      </c>
      <c r="O43">
        <f t="shared" ca="1" si="3"/>
        <v>7.5885789164429392E-3</v>
      </c>
      <c r="Q43" s="2">
        <f t="shared" si="4"/>
        <v>21145.35</v>
      </c>
    </row>
    <row r="44" spans="1:32" x14ac:dyDescent="0.2">
      <c r="A44" s="36" t="s">
        <v>115</v>
      </c>
      <c r="B44" s="37" t="s">
        <v>38</v>
      </c>
      <c r="C44" s="38">
        <v>36257.557000000001</v>
      </c>
      <c r="D44" s="6"/>
      <c r="E44">
        <f t="shared" si="0"/>
        <v>235.99963405384304</v>
      </c>
      <c r="F44">
        <f t="shared" si="1"/>
        <v>236</v>
      </c>
      <c r="G44">
        <f t="shared" si="2"/>
        <v>-6.8800000008195639E-3</v>
      </c>
      <c r="I44">
        <f>+G44</f>
        <v>-6.8800000008195639E-3</v>
      </c>
      <c r="O44">
        <f t="shared" ca="1" si="3"/>
        <v>7.400299089548255E-3</v>
      </c>
      <c r="Q44" s="2">
        <f t="shared" si="4"/>
        <v>21239.057000000001</v>
      </c>
    </row>
    <row r="45" spans="1:32" x14ac:dyDescent="0.2">
      <c r="A45" s="36" t="s">
        <v>156</v>
      </c>
      <c r="B45" s="37" t="s">
        <v>38</v>
      </c>
      <c r="C45" s="38">
        <v>39829.646999999997</v>
      </c>
      <c r="D45" s="6"/>
      <c r="E45">
        <f t="shared" si="0"/>
        <v>425.99855961890518</v>
      </c>
      <c r="F45">
        <f t="shared" si="1"/>
        <v>426</v>
      </c>
      <c r="G45">
        <f t="shared" si="2"/>
        <v>-2.7079999999841675E-2</v>
      </c>
      <c r="I45">
        <f>+G45</f>
        <v>-2.7079999999841675E-2</v>
      </c>
      <c r="O45">
        <f t="shared" ca="1" si="3"/>
        <v>2.4566566755027455E-4</v>
      </c>
      <c r="Q45" s="2">
        <f t="shared" si="4"/>
        <v>24811.146999999997</v>
      </c>
    </row>
    <row r="46" spans="1:32" x14ac:dyDescent="0.2">
      <c r="A46" t="s">
        <v>29</v>
      </c>
      <c r="C46" s="7">
        <v>42405.38</v>
      </c>
      <c r="D46" s="7"/>
      <c r="E46">
        <f t="shared" si="0"/>
        <v>563.0014074033885</v>
      </c>
      <c r="F46">
        <f t="shared" si="1"/>
        <v>563</v>
      </c>
      <c r="G46">
        <f t="shared" si="2"/>
        <v>2.6460000000952277E-2</v>
      </c>
      <c r="I46">
        <f>+G46</f>
        <v>2.6460000000952277E-2</v>
      </c>
      <c r="O46">
        <f t="shared" ca="1" si="3"/>
        <v>-4.91320158936406E-3</v>
      </c>
      <c r="Q46" s="2">
        <f t="shared" si="4"/>
        <v>27386.879999999997</v>
      </c>
      <c r="U46" s="10"/>
      <c r="AB46">
        <v>6</v>
      </c>
      <c r="AD46" t="s">
        <v>28</v>
      </c>
      <c r="AF46" t="s">
        <v>30</v>
      </c>
    </row>
    <row r="47" spans="1:32" x14ac:dyDescent="0.2">
      <c r="A47" t="s">
        <v>33</v>
      </c>
      <c r="C47" s="7">
        <v>45037.392</v>
      </c>
      <c r="D47" s="7"/>
      <c r="E47">
        <f t="shared" si="0"/>
        <v>702.99772666587944</v>
      </c>
      <c r="F47">
        <f t="shared" si="1"/>
        <v>703</v>
      </c>
      <c r="G47">
        <f t="shared" si="2"/>
        <v>-4.2739999997138511E-2</v>
      </c>
      <c r="I47">
        <f>+G47</f>
        <v>-4.2739999997138511E-2</v>
      </c>
      <c r="O47">
        <f t="shared" ca="1" si="3"/>
        <v>-1.0185036742415207E-2</v>
      </c>
      <c r="Q47" s="2">
        <f t="shared" si="4"/>
        <v>30018.892</v>
      </c>
      <c r="Z47" t="s">
        <v>31</v>
      </c>
      <c r="AA47" t="s">
        <v>32</v>
      </c>
      <c r="AF47" t="s">
        <v>34</v>
      </c>
    </row>
    <row r="48" spans="1:32" x14ac:dyDescent="0.2">
      <c r="A48" t="s">
        <v>33</v>
      </c>
      <c r="C48" s="7">
        <v>46052.678999999996</v>
      </c>
      <c r="D48" s="7"/>
      <c r="E48">
        <f t="shared" si="0"/>
        <v>757.00068827663802</v>
      </c>
      <c r="F48">
        <f t="shared" si="1"/>
        <v>757</v>
      </c>
      <c r="G48">
        <f t="shared" si="2"/>
        <v>1.293999999325024E-2</v>
      </c>
      <c r="I48">
        <f>+G48</f>
        <v>1.293999999325024E-2</v>
      </c>
      <c r="O48">
        <f t="shared" ca="1" si="3"/>
        <v>-1.2218458872877789E-2</v>
      </c>
      <c r="Q48" s="2">
        <f t="shared" si="4"/>
        <v>31034.178999999996</v>
      </c>
      <c r="U48" s="10"/>
      <c r="Z48" t="s">
        <v>31</v>
      </c>
      <c r="AA48" t="s">
        <v>32</v>
      </c>
      <c r="AF48" t="s">
        <v>34</v>
      </c>
    </row>
    <row r="49" spans="1:32" x14ac:dyDescent="0.2">
      <c r="A49" t="s">
        <v>36</v>
      </c>
      <c r="C49" s="7">
        <v>48233.49</v>
      </c>
      <c r="D49" s="7">
        <v>0.01</v>
      </c>
      <c r="E49">
        <f t="shared" si="0"/>
        <v>872.99769475197024</v>
      </c>
      <c r="F49">
        <f t="shared" si="1"/>
        <v>873</v>
      </c>
      <c r="G49">
        <f t="shared" si="2"/>
        <v>-4.3340000003809109E-2</v>
      </c>
      <c r="J49">
        <f>+G49</f>
        <v>-4.3340000003809109E-2</v>
      </c>
      <c r="O49">
        <f t="shared" ca="1" si="3"/>
        <v>-1.6586550856834456E-2</v>
      </c>
      <c r="Q49" s="2">
        <f t="shared" si="4"/>
        <v>33214.99</v>
      </c>
      <c r="AA49" t="s">
        <v>32</v>
      </c>
      <c r="AB49">
        <v>24</v>
      </c>
      <c r="AD49" t="s">
        <v>35</v>
      </c>
      <c r="AF49" t="s">
        <v>30</v>
      </c>
    </row>
    <row r="50" spans="1:32" x14ac:dyDescent="0.2">
      <c r="A50" t="s">
        <v>39</v>
      </c>
      <c r="B50" s="3" t="s">
        <v>38</v>
      </c>
      <c r="C50" s="7">
        <v>52275.6149</v>
      </c>
      <c r="D50" s="7">
        <v>2.9999999999999997E-4</v>
      </c>
      <c r="E50">
        <f t="shared" si="0"/>
        <v>1087.9977053899402</v>
      </c>
      <c r="F50">
        <f t="shared" si="1"/>
        <v>1088</v>
      </c>
      <c r="G50">
        <f t="shared" si="2"/>
        <v>-4.3140000001585577E-2</v>
      </c>
      <c r="K50">
        <f>+G50</f>
        <v>-4.3140000001585577E-2</v>
      </c>
      <c r="O50">
        <f t="shared" ca="1" si="3"/>
        <v>-2.4682583413305856E-2</v>
      </c>
      <c r="Q50" s="2">
        <f t="shared" si="4"/>
        <v>37257.1149</v>
      </c>
    </row>
    <row r="51" spans="1:32" x14ac:dyDescent="0.2">
      <c r="A51" s="36" t="s">
        <v>185</v>
      </c>
      <c r="B51" s="37" t="s">
        <v>38</v>
      </c>
      <c r="C51" s="38">
        <v>52689.290999999997</v>
      </c>
      <c r="D51" s="6"/>
      <c r="E51">
        <f t="shared" si="0"/>
        <v>1110.0010744349374</v>
      </c>
      <c r="F51">
        <f t="shared" si="1"/>
        <v>1110</v>
      </c>
      <c r="G51">
        <f t="shared" si="2"/>
        <v>2.0199999999022111E-2</v>
      </c>
      <c r="K51">
        <f>+G51</f>
        <v>2.0199999999022111E-2</v>
      </c>
      <c r="O51">
        <f t="shared" ca="1" si="3"/>
        <v>-2.5511014651642461E-2</v>
      </c>
      <c r="Q51" s="2">
        <f t="shared" si="4"/>
        <v>37670.790999999997</v>
      </c>
    </row>
    <row r="52" spans="1:32" x14ac:dyDescent="0.2">
      <c r="A52" t="s">
        <v>37</v>
      </c>
      <c r="B52" s="3" t="s">
        <v>38</v>
      </c>
      <c r="C52" s="7">
        <v>52914.834499999997</v>
      </c>
      <c r="D52" s="7">
        <v>4.0000000000000002E-4</v>
      </c>
      <c r="E52">
        <f t="shared" si="0"/>
        <v>1121.9976990071582</v>
      </c>
      <c r="F52">
        <f t="shared" si="1"/>
        <v>1122</v>
      </c>
      <c r="G52">
        <f t="shared" si="2"/>
        <v>-4.3260000005830079E-2</v>
      </c>
      <c r="K52">
        <f>+G52</f>
        <v>-4.3260000005830079E-2</v>
      </c>
      <c r="O52">
        <f t="shared" ca="1" si="3"/>
        <v>-2.5962886236189704E-2</v>
      </c>
      <c r="Q52" s="2">
        <f t="shared" si="4"/>
        <v>37896.334499999997</v>
      </c>
    </row>
    <row r="53" spans="1:32" x14ac:dyDescent="0.2">
      <c r="A53" s="4" t="s">
        <v>41</v>
      </c>
      <c r="B53" s="5" t="s">
        <v>38</v>
      </c>
      <c r="C53" s="7">
        <v>53027.636599999998</v>
      </c>
      <c r="D53" s="8">
        <v>1.4999999999999999E-4</v>
      </c>
      <c r="E53">
        <f t="shared" si="0"/>
        <v>1127.9976256051673</v>
      </c>
      <c r="F53">
        <f t="shared" si="1"/>
        <v>1128</v>
      </c>
      <c r="G53">
        <f t="shared" si="2"/>
        <v>-4.4640000007348135E-2</v>
      </c>
      <c r="K53">
        <f>+G53</f>
        <v>-4.4640000007348135E-2</v>
      </c>
      <c r="O53">
        <f t="shared" ca="1" si="3"/>
        <v>-2.6188822028463322E-2</v>
      </c>
      <c r="Q53" s="2">
        <f t="shared" si="4"/>
        <v>38009.136599999998</v>
      </c>
    </row>
    <row r="54" spans="1:32" x14ac:dyDescent="0.2">
      <c r="A54" s="13" t="s">
        <v>53</v>
      </c>
      <c r="B54" s="14" t="s">
        <v>38</v>
      </c>
      <c r="C54" s="15">
        <v>54456.493000000002</v>
      </c>
      <c r="D54" s="15">
        <v>5.0000000000000001E-3</v>
      </c>
      <c r="E54">
        <f t="shared" si="0"/>
        <v>1203.9982809040998</v>
      </c>
      <c r="F54">
        <f t="shared" si="1"/>
        <v>1204</v>
      </c>
      <c r="G54">
        <f t="shared" si="2"/>
        <v>-3.2319999998435378E-2</v>
      </c>
      <c r="K54">
        <f>+G54</f>
        <v>-3.2319999998435378E-2</v>
      </c>
      <c r="O54">
        <f t="shared" ca="1" si="3"/>
        <v>-2.905067539726252E-2</v>
      </c>
      <c r="Q54" s="2">
        <f t="shared" si="4"/>
        <v>39437.993000000002</v>
      </c>
    </row>
    <row r="55" spans="1:32" x14ac:dyDescent="0.2">
      <c r="A55" s="12" t="s">
        <v>50</v>
      </c>
      <c r="B55" s="11" t="s">
        <v>38</v>
      </c>
      <c r="C55" s="12">
        <v>54794.889900000002</v>
      </c>
      <c r="D55" s="12">
        <v>2.0000000000000001E-4</v>
      </c>
      <c r="E55">
        <f t="shared" si="0"/>
        <v>1221.9975607135525</v>
      </c>
      <c r="F55">
        <f t="shared" si="1"/>
        <v>1222</v>
      </c>
      <c r="G55">
        <f t="shared" si="2"/>
        <v>-4.5859999998356216E-2</v>
      </c>
      <c r="K55">
        <f>+G55</f>
        <v>-4.5859999998356216E-2</v>
      </c>
      <c r="O55">
        <f t="shared" ca="1" si="3"/>
        <v>-2.9728482774083381E-2</v>
      </c>
      <c r="Q55" s="2">
        <f t="shared" si="4"/>
        <v>39776.389900000002</v>
      </c>
    </row>
    <row r="56" spans="1:32" x14ac:dyDescent="0.2">
      <c r="A56" s="16" t="s">
        <v>54</v>
      </c>
      <c r="B56" s="17" t="s">
        <v>38</v>
      </c>
      <c r="C56" s="18">
        <v>55170.8995</v>
      </c>
      <c r="D56" s="18">
        <v>6.9999999999999999E-4</v>
      </c>
      <c r="E56">
        <f t="shared" si="0"/>
        <v>1241.9974543338556</v>
      </c>
      <c r="F56">
        <f t="shared" si="1"/>
        <v>1242</v>
      </c>
      <c r="G56">
        <f t="shared" si="2"/>
        <v>-4.7860000006039627E-2</v>
      </c>
      <c r="K56">
        <f>+G56</f>
        <v>-4.7860000006039627E-2</v>
      </c>
      <c r="O56">
        <f t="shared" ca="1" si="3"/>
        <v>-3.0481602081662111E-2</v>
      </c>
      <c r="Q56" s="2">
        <f t="shared" si="4"/>
        <v>40152.3995</v>
      </c>
    </row>
    <row r="57" spans="1:32" x14ac:dyDescent="0.2">
      <c r="A57" s="16" t="s">
        <v>54</v>
      </c>
      <c r="B57" s="17" t="s">
        <v>55</v>
      </c>
      <c r="C57" s="19">
        <v>55505.916799999999</v>
      </c>
      <c r="D57" s="18">
        <v>5.0000000000000001E-4</v>
      </c>
      <c r="E57">
        <f t="shared" si="0"/>
        <v>1259.8169737316614</v>
      </c>
      <c r="F57">
        <f t="shared" si="1"/>
        <v>1260</v>
      </c>
      <c r="O57">
        <f t="shared" ca="1" si="3"/>
        <v>-3.1159409458482973E-2</v>
      </c>
      <c r="Q57" s="2">
        <f t="shared" si="4"/>
        <v>40487.416799999999</v>
      </c>
      <c r="U57" s="10">
        <v>-3.4409999999988941</v>
      </c>
    </row>
    <row r="58" spans="1:32" x14ac:dyDescent="0.2">
      <c r="A58" s="20" t="s">
        <v>56</v>
      </c>
      <c r="B58" s="21" t="s">
        <v>38</v>
      </c>
      <c r="C58" s="22">
        <v>57013.355000000003</v>
      </c>
      <c r="D58" s="22">
        <v>5.0000000000000001E-3</v>
      </c>
      <c r="E58">
        <f t="shared" si="0"/>
        <v>1339.997383059459</v>
      </c>
      <c r="F58">
        <f t="shared" si="1"/>
        <v>1340</v>
      </c>
      <c r="G58">
        <f>+C58-(C$7+F58*C$8)</f>
        <v>-4.920000000129221E-2</v>
      </c>
      <c r="K58">
        <f>+G58</f>
        <v>-4.920000000129221E-2</v>
      </c>
      <c r="O58">
        <f t="shared" ca="1" si="3"/>
        <v>-3.4171886688797913E-2</v>
      </c>
      <c r="Q58" s="2">
        <f t="shared" si="4"/>
        <v>41994.855000000003</v>
      </c>
    </row>
    <row r="59" spans="1:32" x14ac:dyDescent="0.2">
      <c r="C59" s="6"/>
      <c r="D59" s="6"/>
    </row>
    <row r="60" spans="1:32" x14ac:dyDescent="0.2">
      <c r="C60" s="6"/>
      <c r="D60" s="6"/>
    </row>
    <row r="61" spans="1:32" x14ac:dyDescent="0.2">
      <c r="C61" s="6"/>
      <c r="D61" s="6"/>
    </row>
    <row r="62" spans="1:32" x14ac:dyDescent="0.2">
      <c r="C62" s="6"/>
      <c r="D62" s="6"/>
    </row>
    <row r="63" spans="1:32" x14ac:dyDescent="0.2">
      <c r="C63" s="6"/>
      <c r="D63" s="6"/>
    </row>
    <row r="64" spans="1:32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5"/>
  <sheetViews>
    <sheetView workbookViewId="0">
      <selection activeCell="A22" sqref="A22:C46"/>
    </sheetView>
  </sheetViews>
  <sheetFormatPr defaultRowHeight="12.75" x14ac:dyDescent="0.2"/>
  <cols>
    <col min="1" max="1" width="19.7109375" style="6" customWidth="1"/>
    <col min="2" max="2" width="4.42578125" style="9" customWidth="1"/>
    <col min="3" max="3" width="12.7109375" style="6" customWidth="1"/>
    <col min="4" max="4" width="5.42578125" style="9" customWidth="1"/>
    <col min="5" max="5" width="14.85546875" style="9" customWidth="1"/>
    <col min="6" max="6" width="9.140625" style="9"/>
    <col min="7" max="7" width="12" style="9" customWidth="1"/>
    <col min="8" max="8" width="14.140625" style="6" customWidth="1"/>
    <col min="9" max="9" width="22.5703125" style="9" customWidth="1"/>
    <col min="10" max="10" width="25.140625" style="9" customWidth="1"/>
    <col min="11" max="11" width="15.7109375" style="9" customWidth="1"/>
    <col min="12" max="12" width="14.140625" style="9" customWidth="1"/>
    <col min="13" max="13" width="9.5703125" style="9" customWidth="1"/>
    <col min="14" max="14" width="14.140625" style="9" customWidth="1"/>
    <col min="15" max="15" width="23.42578125" style="9" customWidth="1"/>
    <col min="16" max="16" width="16.5703125" style="9" customWidth="1"/>
    <col min="17" max="17" width="41" style="9" customWidth="1"/>
    <col min="18" max="16384" width="9.140625" style="9"/>
  </cols>
  <sheetData>
    <row r="1" spans="1:16" ht="15.75" x14ac:dyDescent="0.25">
      <c r="A1" s="23" t="s">
        <v>57</v>
      </c>
      <c r="I1" s="24" t="s">
        <v>58</v>
      </c>
      <c r="J1" s="25" t="s">
        <v>59</v>
      </c>
    </row>
    <row r="2" spans="1:16" x14ac:dyDescent="0.2">
      <c r="I2" s="26" t="s">
        <v>60</v>
      </c>
      <c r="J2" s="27" t="s">
        <v>61</v>
      </c>
    </row>
    <row r="3" spans="1:16" x14ac:dyDescent="0.2">
      <c r="A3" s="28" t="s">
        <v>62</v>
      </c>
      <c r="I3" s="26" t="s">
        <v>63</v>
      </c>
      <c r="J3" s="27" t="s">
        <v>64</v>
      </c>
    </row>
    <row r="4" spans="1:16" x14ac:dyDescent="0.2">
      <c r="I4" s="26" t="s">
        <v>65</v>
      </c>
      <c r="J4" s="27" t="s">
        <v>64</v>
      </c>
    </row>
    <row r="5" spans="1:16" ht="13.5" thickBot="1" x14ac:dyDescent="0.25">
      <c r="I5" s="29" t="s">
        <v>66</v>
      </c>
      <c r="J5" s="30" t="s">
        <v>67</v>
      </c>
    </row>
    <row r="10" spans="1:16" ht="13.5" thickBot="1" x14ac:dyDescent="0.25"/>
    <row r="11" spans="1:16" ht="12.75" customHeight="1" thickBot="1" x14ac:dyDescent="0.25">
      <c r="A11" s="6" t="str">
        <f t="shared" ref="A11:A46" si="0">P11</f>
        <v> BBS 19 </v>
      </c>
      <c r="B11" s="3" t="str">
        <f t="shared" ref="B11:B46" si="1">IF(H11=INT(H11),"I","II")</f>
        <v>I</v>
      </c>
      <c r="C11" s="6">
        <f t="shared" ref="C11:C46" si="2">1*G11</f>
        <v>42405.38</v>
      </c>
      <c r="D11" s="9" t="str">
        <f t="shared" ref="D11:D46" si="3">VLOOKUP(F11,I$1:J$5,2,FALSE)</f>
        <v>vis</v>
      </c>
      <c r="E11" s="31">
        <f>VLOOKUP(C11,Active!C$21:E$973,3,FALSE)</f>
        <v>563.0014074033885</v>
      </c>
      <c r="F11" s="3" t="s">
        <v>66</v>
      </c>
      <c r="G11" s="9" t="str">
        <f t="shared" ref="G11:G46" si="4">MID(I11,3,LEN(I11)-3)</f>
        <v>42405.38</v>
      </c>
      <c r="H11" s="6">
        <f t="shared" ref="H11:H46" si="5">1*K11</f>
        <v>563</v>
      </c>
      <c r="I11" s="32" t="s">
        <v>157</v>
      </c>
      <c r="J11" s="33" t="s">
        <v>158</v>
      </c>
      <c r="K11" s="32">
        <v>563</v>
      </c>
      <c r="L11" s="32" t="s">
        <v>113</v>
      </c>
      <c r="M11" s="33" t="s">
        <v>103</v>
      </c>
      <c r="N11" s="33"/>
      <c r="O11" s="34" t="s">
        <v>159</v>
      </c>
      <c r="P11" s="34" t="s">
        <v>160</v>
      </c>
    </row>
    <row r="12" spans="1:16" ht="12.75" customHeight="1" thickBot="1" x14ac:dyDescent="0.25">
      <c r="A12" s="6" t="str">
        <f t="shared" si="0"/>
        <v> VSSC 67.11 </v>
      </c>
      <c r="B12" s="3" t="str">
        <f t="shared" si="1"/>
        <v>I</v>
      </c>
      <c r="C12" s="6">
        <f t="shared" si="2"/>
        <v>45037.392</v>
      </c>
      <c r="D12" s="9" t="str">
        <f t="shared" si="3"/>
        <v>vis</v>
      </c>
      <c r="E12" s="31">
        <f>VLOOKUP(C12,Active!C$21:E$973,3,FALSE)</f>
        <v>702.99772666587944</v>
      </c>
      <c r="F12" s="3" t="s">
        <v>66</v>
      </c>
      <c r="G12" s="9" t="str">
        <f t="shared" si="4"/>
        <v>45037.392</v>
      </c>
      <c r="H12" s="6">
        <f t="shared" si="5"/>
        <v>703</v>
      </c>
      <c r="I12" s="32" t="s">
        <v>161</v>
      </c>
      <c r="J12" s="33" t="s">
        <v>162</v>
      </c>
      <c r="K12" s="32">
        <v>703</v>
      </c>
      <c r="L12" s="32" t="s">
        <v>163</v>
      </c>
      <c r="M12" s="33" t="s">
        <v>103</v>
      </c>
      <c r="N12" s="33"/>
      <c r="O12" s="34" t="s">
        <v>164</v>
      </c>
      <c r="P12" s="34" t="s">
        <v>165</v>
      </c>
    </row>
    <row r="13" spans="1:16" ht="12.75" customHeight="1" thickBot="1" x14ac:dyDescent="0.25">
      <c r="A13" s="6" t="str">
        <f t="shared" si="0"/>
        <v> VSSC 67.11 </v>
      </c>
      <c r="B13" s="3" t="str">
        <f t="shared" si="1"/>
        <v>I</v>
      </c>
      <c r="C13" s="6">
        <f t="shared" si="2"/>
        <v>46052.678999999996</v>
      </c>
      <c r="D13" s="9" t="str">
        <f t="shared" si="3"/>
        <v>vis</v>
      </c>
      <c r="E13" s="31">
        <f>VLOOKUP(C13,Active!C$21:E$973,3,FALSE)</f>
        <v>757.00068827663802</v>
      </c>
      <c r="F13" s="3" t="s">
        <v>66</v>
      </c>
      <c r="G13" s="9" t="str">
        <f t="shared" si="4"/>
        <v>46052.679</v>
      </c>
      <c r="H13" s="6">
        <f t="shared" si="5"/>
        <v>757</v>
      </c>
      <c r="I13" s="32" t="s">
        <v>166</v>
      </c>
      <c r="J13" s="33" t="s">
        <v>167</v>
      </c>
      <c r="K13" s="32">
        <v>757</v>
      </c>
      <c r="L13" s="32" t="s">
        <v>168</v>
      </c>
      <c r="M13" s="33" t="s">
        <v>103</v>
      </c>
      <c r="N13" s="33"/>
      <c r="O13" s="34" t="s">
        <v>164</v>
      </c>
      <c r="P13" s="34" t="s">
        <v>165</v>
      </c>
    </row>
    <row r="14" spans="1:16" ht="12.75" customHeight="1" thickBot="1" x14ac:dyDescent="0.25">
      <c r="A14" s="6" t="str">
        <f t="shared" si="0"/>
        <v> BBS 97 </v>
      </c>
      <c r="B14" s="3" t="str">
        <f t="shared" si="1"/>
        <v>I</v>
      </c>
      <c r="C14" s="6">
        <f t="shared" si="2"/>
        <v>48233.49</v>
      </c>
      <c r="D14" s="9" t="str">
        <f t="shared" si="3"/>
        <v>vis</v>
      </c>
      <c r="E14" s="31">
        <f>VLOOKUP(C14,Active!C$21:E$973,3,FALSE)</f>
        <v>872.99769475197024</v>
      </c>
      <c r="F14" s="3" t="s">
        <v>66</v>
      </c>
      <c r="G14" s="9" t="str">
        <f t="shared" si="4"/>
        <v>48233.49</v>
      </c>
      <c r="H14" s="6">
        <f t="shared" si="5"/>
        <v>873</v>
      </c>
      <c r="I14" s="32" t="s">
        <v>169</v>
      </c>
      <c r="J14" s="33" t="s">
        <v>170</v>
      </c>
      <c r="K14" s="32">
        <v>873</v>
      </c>
      <c r="L14" s="32" t="s">
        <v>171</v>
      </c>
      <c r="M14" s="33" t="s">
        <v>172</v>
      </c>
      <c r="N14" s="33" t="s">
        <v>173</v>
      </c>
      <c r="O14" s="34" t="s">
        <v>174</v>
      </c>
      <c r="P14" s="34" t="s">
        <v>175</v>
      </c>
    </row>
    <row r="15" spans="1:16" ht="12.75" customHeight="1" thickBot="1" x14ac:dyDescent="0.25">
      <c r="A15" s="6" t="str">
        <f t="shared" si="0"/>
        <v>IBVS 5357 </v>
      </c>
      <c r="B15" s="3" t="str">
        <f t="shared" si="1"/>
        <v>I</v>
      </c>
      <c r="C15" s="6">
        <f t="shared" si="2"/>
        <v>52275.6149</v>
      </c>
      <c r="D15" s="9" t="str">
        <f t="shared" si="3"/>
        <v>vis</v>
      </c>
      <c r="E15" s="31">
        <f>VLOOKUP(C15,Active!C$21:E$973,3,FALSE)</f>
        <v>1087.9977053899402</v>
      </c>
      <c r="F15" s="3" t="s">
        <v>66</v>
      </c>
      <c r="G15" s="9" t="str">
        <f t="shared" si="4"/>
        <v>52275.6149</v>
      </c>
      <c r="H15" s="6">
        <f t="shared" si="5"/>
        <v>1088</v>
      </c>
      <c r="I15" s="32" t="s">
        <v>176</v>
      </c>
      <c r="J15" s="33" t="s">
        <v>177</v>
      </c>
      <c r="K15" s="32">
        <v>1088</v>
      </c>
      <c r="L15" s="32" t="s">
        <v>178</v>
      </c>
      <c r="M15" s="33" t="s">
        <v>172</v>
      </c>
      <c r="N15" s="33" t="s">
        <v>173</v>
      </c>
      <c r="O15" s="34" t="s">
        <v>179</v>
      </c>
      <c r="P15" s="35" t="s">
        <v>180</v>
      </c>
    </row>
    <row r="16" spans="1:16" ht="12.75" customHeight="1" thickBot="1" x14ac:dyDescent="0.25">
      <c r="A16" s="6" t="str">
        <f t="shared" si="0"/>
        <v>IBVS 5577 </v>
      </c>
      <c r="B16" s="3" t="str">
        <f t="shared" si="1"/>
        <v>I</v>
      </c>
      <c r="C16" s="6">
        <f t="shared" si="2"/>
        <v>53027.636599999998</v>
      </c>
      <c r="D16" s="9" t="str">
        <f t="shared" si="3"/>
        <v>vis</v>
      </c>
      <c r="E16" s="31">
        <f>VLOOKUP(C16,Active!C$21:E$973,3,FALSE)</f>
        <v>1127.9976256051673</v>
      </c>
      <c r="F16" s="3" t="s">
        <v>66</v>
      </c>
      <c r="G16" s="9" t="str">
        <f t="shared" si="4"/>
        <v>53027.6366</v>
      </c>
      <c r="H16" s="6">
        <f t="shared" si="5"/>
        <v>1128</v>
      </c>
      <c r="I16" s="32" t="s">
        <v>186</v>
      </c>
      <c r="J16" s="33" t="s">
        <v>187</v>
      </c>
      <c r="K16" s="32">
        <v>1128</v>
      </c>
      <c r="L16" s="32" t="s">
        <v>188</v>
      </c>
      <c r="M16" s="33" t="s">
        <v>172</v>
      </c>
      <c r="N16" s="33" t="s">
        <v>173</v>
      </c>
      <c r="O16" s="34" t="s">
        <v>179</v>
      </c>
      <c r="P16" s="35" t="s">
        <v>189</v>
      </c>
    </row>
    <row r="17" spans="1:16" ht="12.75" customHeight="1" thickBot="1" x14ac:dyDescent="0.25">
      <c r="A17" s="6" t="str">
        <f t="shared" si="0"/>
        <v>OEJV 0116 </v>
      </c>
      <c r="B17" s="3" t="str">
        <f t="shared" si="1"/>
        <v>I</v>
      </c>
      <c r="C17" s="6">
        <f t="shared" si="2"/>
        <v>54456.493000000002</v>
      </c>
      <c r="D17" s="9" t="str">
        <f t="shared" si="3"/>
        <v>vis</v>
      </c>
      <c r="E17" s="31">
        <f>VLOOKUP(C17,Active!C$21:E$973,3,FALSE)</f>
        <v>1203.9982809040998</v>
      </c>
      <c r="F17" s="3" t="s">
        <v>66</v>
      </c>
      <c r="G17" s="9" t="str">
        <f t="shared" si="4"/>
        <v>54456.493</v>
      </c>
      <c r="H17" s="6">
        <f t="shared" si="5"/>
        <v>1204</v>
      </c>
      <c r="I17" s="32" t="s">
        <v>190</v>
      </c>
      <c r="J17" s="33" t="s">
        <v>191</v>
      </c>
      <c r="K17" s="32">
        <v>1204</v>
      </c>
      <c r="L17" s="32" t="s">
        <v>192</v>
      </c>
      <c r="M17" s="33" t="s">
        <v>193</v>
      </c>
      <c r="N17" s="33" t="s">
        <v>194</v>
      </c>
      <c r="O17" s="34" t="s">
        <v>174</v>
      </c>
      <c r="P17" s="35" t="s">
        <v>195</v>
      </c>
    </row>
    <row r="18" spans="1:16" ht="12.75" customHeight="1" thickBot="1" x14ac:dyDescent="0.25">
      <c r="A18" s="6" t="str">
        <f t="shared" si="0"/>
        <v>IBVS 5871 </v>
      </c>
      <c r="B18" s="3" t="str">
        <f t="shared" si="1"/>
        <v>I</v>
      </c>
      <c r="C18" s="6">
        <f t="shared" si="2"/>
        <v>54794.889900000002</v>
      </c>
      <c r="D18" s="9" t="str">
        <f t="shared" si="3"/>
        <v>vis</v>
      </c>
      <c r="E18" s="31">
        <f>VLOOKUP(C18,Active!C$21:E$973,3,FALSE)</f>
        <v>1221.9975607135525</v>
      </c>
      <c r="F18" s="3" t="s">
        <v>66</v>
      </c>
      <c r="G18" s="9" t="str">
        <f t="shared" si="4"/>
        <v>54794.8899</v>
      </c>
      <c r="H18" s="6">
        <f t="shared" si="5"/>
        <v>1222</v>
      </c>
      <c r="I18" s="32" t="s">
        <v>196</v>
      </c>
      <c r="J18" s="33" t="s">
        <v>197</v>
      </c>
      <c r="K18" s="32">
        <v>1222</v>
      </c>
      <c r="L18" s="32" t="s">
        <v>198</v>
      </c>
      <c r="M18" s="33" t="s">
        <v>193</v>
      </c>
      <c r="N18" s="33" t="s">
        <v>66</v>
      </c>
      <c r="O18" s="34" t="s">
        <v>199</v>
      </c>
      <c r="P18" s="35" t="s">
        <v>200</v>
      </c>
    </row>
    <row r="19" spans="1:16" ht="12.75" customHeight="1" thickBot="1" x14ac:dyDescent="0.25">
      <c r="A19" s="6" t="str">
        <f t="shared" si="0"/>
        <v>IBVS 5972 </v>
      </c>
      <c r="B19" s="3" t="str">
        <f t="shared" si="1"/>
        <v>I</v>
      </c>
      <c r="C19" s="6">
        <f t="shared" si="2"/>
        <v>55170.8995</v>
      </c>
      <c r="D19" s="9" t="str">
        <f t="shared" si="3"/>
        <v>vis</v>
      </c>
      <c r="E19" s="31">
        <f>VLOOKUP(C19,Active!C$21:E$973,3,FALSE)</f>
        <v>1241.9974543338556</v>
      </c>
      <c r="F19" s="3" t="s">
        <v>66</v>
      </c>
      <c r="G19" s="9" t="str">
        <f t="shared" si="4"/>
        <v>55170.8995</v>
      </c>
      <c r="H19" s="6">
        <f t="shared" si="5"/>
        <v>1242</v>
      </c>
      <c r="I19" s="32" t="s">
        <v>201</v>
      </c>
      <c r="J19" s="33" t="s">
        <v>202</v>
      </c>
      <c r="K19" s="32">
        <v>1242</v>
      </c>
      <c r="L19" s="32" t="s">
        <v>203</v>
      </c>
      <c r="M19" s="33" t="s">
        <v>193</v>
      </c>
      <c r="N19" s="33" t="s">
        <v>66</v>
      </c>
      <c r="O19" s="34" t="s">
        <v>179</v>
      </c>
      <c r="P19" s="35" t="s">
        <v>204</v>
      </c>
    </row>
    <row r="20" spans="1:16" ht="12.75" customHeight="1" thickBot="1" x14ac:dyDescent="0.25">
      <c r="A20" s="6" t="str">
        <f t="shared" si="0"/>
        <v>IBVS 5972 </v>
      </c>
      <c r="B20" s="3" t="str">
        <f t="shared" si="1"/>
        <v>I</v>
      </c>
      <c r="C20" s="6">
        <f t="shared" si="2"/>
        <v>55505.916799999999</v>
      </c>
      <c r="D20" s="9" t="str">
        <f t="shared" si="3"/>
        <v>vis</v>
      </c>
      <c r="E20" s="31">
        <f>VLOOKUP(C20,Active!C$21:E$973,3,FALSE)</f>
        <v>1259.8169737316614</v>
      </c>
      <c r="F20" s="3" t="s">
        <v>66</v>
      </c>
      <c r="G20" s="9" t="str">
        <f t="shared" si="4"/>
        <v>55505.9168</v>
      </c>
      <c r="H20" s="6">
        <f t="shared" si="5"/>
        <v>1260</v>
      </c>
      <c r="I20" s="32" t="s">
        <v>205</v>
      </c>
      <c r="J20" s="33" t="s">
        <v>206</v>
      </c>
      <c r="K20" s="32">
        <v>1260</v>
      </c>
      <c r="L20" s="32" t="s">
        <v>207</v>
      </c>
      <c r="M20" s="33" t="s">
        <v>193</v>
      </c>
      <c r="N20" s="33" t="s">
        <v>66</v>
      </c>
      <c r="O20" s="34" t="s">
        <v>179</v>
      </c>
      <c r="P20" s="35" t="s">
        <v>204</v>
      </c>
    </row>
    <row r="21" spans="1:16" ht="12.75" customHeight="1" thickBot="1" x14ac:dyDescent="0.25">
      <c r="A21" s="6" t="str">
        <f t="shared" si="0"/>
        <v>OEJV 0172 </v>
      </c>
      <c r="B21" s="3" t="str">
        <f t="shared" si="1"/>
        <v>I</v>
      </c>
      <c r="C21" s="6">
        <f t="shared" si="2"/>
        <v>57013.355000000003</v>
      </c>
      <c r="D21" s="9" t="str">
        <f t="shared" si="3"/>
        <v>vis</v>
      </c>
      <c r="E21" s="31">
        <f>VLOOKUP(C21,Active!C$21:E$973,3,FALSE)</f>
        <v>1339.997383059459</v>
      </c>
      <c r="F21" s="3" t="s">
        <v>66</v>
      </c>
      <c r="G21" s="9" t="str">
        <f t="shared" si="4"/>
        <v>57013.355</v>
      </c>
      <c r="H21" s="6">
        <f t="shared" si="5"/>
        <v>1340</v>
      </c>
      <c r="I21" s="32" t="s">
        <v>208</v>
      </c>
      <c r="J21" s="33" t="s">
        <v>209</v>
      </c>
      <c r="K21" s="32">
        <v>1340</v>
      </c>
      <c r="L21" s="32" t="s">
        <v>210</v>
      </c>
      <c r="M21" s="33" t="s">
        <v>193</v>
      </c>
      <c r="N21" s="33" t="s">
        <v>194</v>
      </c>
      <c r="O21" s="34" t="s">
        <v>174</v>
      </c>
      <c r="P21" s="35" t="s">
        <v>211</v>
      </c>
    </row>
    <row r="22" spans="1:16" ht="12.75" customHeight="1" thickBot="1" x14ac:dyDescent="0.25">
      <c r="A22" s="6" t="str">
        <f t="shared" si="0"/>
        <v> AN 255.184 </v>
      </c>
      <c r="B22" s="3" t="str">
        <f t="shared" si="1"/>
        <v>I</v>
      </c>
      <c r="C22" s="6">
        <f t="shared" si="2"/>
        <v>25503.592000000001</v>
      </c>
      <c r="D22" s="9" t="str">
        <f t="shared" si="3"/>
        <v>vis</v>
      </c>
      <c r="E22" s="31">
        <f>VLOOKUP(C22,Active!C$21:E$973,3,FALSE)</f>
        <v>-336.00213397671774</v>
      </c>
      <c r="F22" s="3" t="s">
        <v>66</v>
      </c>
      <c r="G22" s="9" t="str">
        <f t="shared" si="4"/>
        <v>25503.592</v>
      </c>
      <c r="H22" s="6">
        <f t="shared" si="5"/>
        <v>-336</v>
      </c>
      <c r="I22" s="32" t="s">
        <v>69</v>
      </c>
      <c r="J22" s="33" t="s">
        <v>70</v>
      </c>
      <c r="K22" s="32">
        <v>-336</v>
      </c>
      <c r="L22" s="32" t="s">
        <v>71</v>
      </c>
      <c r="M22" s="33" t="s">
        <v>72</v>
      </c>
      <c r="N22" s="33"/>
      <c r="O22" s="34" t="s">
        <v>73</v>
      </c>
      <c r="P22" s="34" t="s">
        <v>74</v>
      </c>
    </row>
    <row r="23" spans="1:16" ht="12.75" customHeight="1" thickBot="1" x14ac:dyDescent="0.25">
      <c r="A23" s="6" t="str">
        <f t="shared" si="0"/>
        <v> AN 255.184 </v>
      </c>
      <c r="B23" s="3" t="str">
        <f t="shared" si="1"/>
        <v>I</v>
      </c>
      <c r="C23" s="6">
        <f t="shared" si="2"/>
        <v>26631.61</v>
      </c>
      <c r="D23" s="9" t="str">
        <f t="shared" si="3"/>
        <v>vis</v>
      </c>
      <c r="E23" s="31">
        <f>VLOOKUP(C23,Active!C$21:E$973,3,FALSE)</f>
        <v>-276.00302756617083</v>
      </c>
      <c r="F23" s="3" t="s">
        <v>66</v>
      </c>
      <c r="G23" s="9" t="str">
        <f t="shared" si="4"/>
        <v>26631.610</v>
      </c>
      <c r="H23" s="6">
        <f t="shared" si="5"/>
        <v>-276</v>
      </c>
      <c r="I23" s="32" t="s">
        <v>75</v>
      </c>
      <c r="J23" s="33" t="s">
        <v>76</v>
      </c>
      <c r="K23" s="32">
        <v>-276</v>
      </c>
      <c r="L23" s="32" t="s">
        <v>77</v>
      </c>
      <c r="M23" s="33" t="s">
        <v>72</v>
      </c>
      <c r="N23" s="33"/>
      <c r="O23" s="34" t="s">
        <v>73</v>
      </c>
      <c r="P23" s="34" t="s">
        <v>74</v>
      </c>
    </row>
    <row r="24" spans="1:16" ht="12.75" customHeight="1" thickBot="1" x14ac:dyDescent="0.25">
      <c r="A24" s="6" t="str">
        <f t="shared" si="0"/>
        <v> AN 255.184 </v>
      </c>
      <c r="B24" s="3" t="str">
        <f t="shared" si="1"/>
        <v>I</v>
      </c>
      <c r="C24" s="6">
        <f t="shared" si="2"/>
        <v>26631.626</v>
      </c>
      <c r="D24" s="9" t="str">
        <f t="shared" si="3"/>
        <v>vis</v>
      </c>
      <c r="E24" s="31">
        <f>VLOOKUP(C24,Active!C$21:E$973,3,FALSE)</f>
        <v>-276.00217652859646</v>
      </c>
      <c r="F24" s="3" t="s">
        <v>66</v>
      </c>
      <c r="G24" s="9" t="str">
        <f t="shared" si="4"/>
        <v>26631.626</v>
      </c>
      <c r="H24" s="6">
        <f t="shared" si="5"/>
        <v>-276</v>
      </c>
      <c r="I24" s="32" t="s">
        <v>78</v>
      </c>
      <c r="J24" s="33" t="s">
        <v>79</v>
      </c>
      <c r="K24" s="32">
        <v>-276</v>
      </c>
      <c r="L24" s="32" t="s">
        <v>80</v>
      </c>
      <c r="M24" s="33" t="s">
        <v>72</v>
      </c>
      <c r="N24" s="33"/>
      <c r="O24" s="34" t="s">
        <v>73</v>
      </c>
      <c r="P24" s="34" t="s">
        <v>74</v>
      </c>
    </row>
    <row r="25" spans="1:16" ht="12.75" customHeight="1" thickBot="1" x14ac:dyDescent="0.25">
      <c r="A25" s="6" t="str">
        <f t="shared" si="0"/>
        <v> AN 255.184 </v>
      </c>
      <c r="B25" s="3" t="str">
        <f t="shared" si="1"/>
        <v>I</v>
      </c>
      <c r="C25" s="6">
        <f t="shared" si="2"/>
        <v>26650.516</v>
      </c>
      <c r="D25" s="9" t="str">
        <f t="shared" si="3"/>
        <v>vis</v>
      </c>
      <c r="E25" s="31">
        <f>VLOOKUP(C25,Active!C$21:E$973,3,FALSE)</f>
        <v>-274.99742029235273</v>
      </c>
      <c r="F25" s="3" t="s">
        <v>66</v>
      </c>
      <c r="G25" s="9" t="str">
        <f t="shared" si="4"/>
        <v>26650.516</v>
      </c>
      <c r="H25" s="6">
        <f t="shared" si="5"/>
        <v>-275</v>
      </c>
      <c r="I25" s="32" t="s">
        <v>81</v>
      </c>
      <c r="J25" s="33" t="s">
        <v>82</v>
      </c>
      <c r="K25" s="32">
        <v>-275</v>
      </c>
      <c r="L25" s="32" t="s">
        <v>83</v>
      </c>
      <c r="M25" s="33" t="s">
        <v>72</v>
      </c>
      <c r="N25" s="33"/>
      <c r="O25" s="34" t="s">
        <v>73</v>
      </c>
      <c r="P25" s="34" t="s">
        <v>74</v>
      </c>
    </row>
    <row r="26" spans="1:16" ht="12.75" customHeight="1" thickBot="1" x14ac:dyDescent="0.25">
      <c r="A26" s="6" t="str">
        <f t="shared" si="0"/>
        <v> AN 255.184 </v>
      </c>
      <c r="B26" s="3" t="str">
        <f t="shared" si="1"/>
        <v>I</v>
      </c>
      <c r="C26" s="6">
        <f t="shared" si="2"/>
        <v>26650.524000000001</v>
      </c>
      <c r="D26" s="9" t="str">
        <f t="shared" si="3"/>
        <v>vis</v>
      </c>
      <c r="E26" s="31">
        <f>VLOOKUP(C26,Active!C$21:E$973,3,FALSE)</f>
        <v>-274.99699477356546</v>
      </c>
      <c r="F26" s="3" t="s">
        <v>66</v>
      </c>
      <c r="G26" s="9" t="str">
        <f t="shared" si="4"/>
        <v>26650.524</v>
      </c>
      <c r="H26" s="6">
        <f t="shared" si="5"/>
        <v>-275</v>
      </c>
      <c r="I26" s="32" t="s">
        <v>84</v>
      </c>
      <c r="J26" s="33" t="s">
        <v>85</v>
      </c>
      <c r="K26" s="32">
        <v>-275</v>
      </c>
      <c r="L26" s="32" t="s">
        <v>86</v>
      </c>
      <c r="M26" s="33" t="s">
        <v>72</v>
      </c>
      <c r="N26" s="33"/>
      <c r="O26" s="34" t="s">
        <v>87</v>
      </c>
      <c r="P26" s="34" t="s">
        <v>74</v>
      </c>
    </row>
    <row r="27" spans="1:16" ht="12.75" customHeight="1" thickBot="1" x14ac:dyDescent="0.25">
      <c r="A27" s="6" t="str">
        <f t="shared" si="0"/>
        <v> AN 255.184 </v>
      </c>
      <c r="B27" s="3" t="str">
        <f t="shared" si="1"/>
        <v>I</v>
      </c>
      <c r="C27" s="6">
        <f t="shared" si="2"/>
        <v>26744.313999999998</v>
      </c>
      <c r="D27" s="9" t="str">
        <f t="shared" si="3"/>
        <v>vis</v>
      </c>
      <c r="E27" s="31">
        <f>VLOOKUP(C27,Active!C$21:E$973,3,FALSE)</f>
        <v>-270.00831889228959</v>
      </c>
      <c r="F27" s="3" t="s">
        <v>66</v>
      </c>
      <c r="G27" s="9" t="str">
        <f t="shared" si="4"/>
        <v>26744.314</v>
      </c>
      <c r="H27" s="6">
        <f t="shared" si="5"/>
        <v>-270</v>
      </c>
      <c r="I27" s="32" t="s">
        <v>88</v>
      </c>
      <c r="J27" s="33" t="s">
        <v>89</v>
      </c>
      <c r="K27" s="32">
        <v>-270</v>
      </c>
      <c r="L27" s="32" t="s">
        <v>90</v>
      </c>
      <c r="M27" s="33" t="s">
        <v>72</v>
      </c>
      <c r="N27" s="33"/>
      <c r="O27" s="34" t="s">
        <v>87</v>
      </c>
      <c r="P27" s="34" t="s">
        <v>74</v>
      </c>
    </row>
    <row r="28" spans="1:16" ht="12.75" customHeight="1" thickBot="1" x14ac:dyDescent="0.25">
      <c r="A28" s="6" t="str">
        <f t="shared" si="0"/>
        <v> AN 255.184 </v>
      </c>
      <c r="B28" s="3" t="str">
        <f t="shared" si="1"/>
        <v>I</v>
      </c>
      <c r="C28" s="6">
        <f t="shared" si="2"/>
        <v>27120.362000000001</v>
      </c>
      <c r="D28" s="9" t="str">
        <f t="shared" si="3"/>
        <v>vis</v>
      </c>
      <c r="E28" s="31">
        <f>VLOOKUP(C28,Active!C$21:E$973,3,FALSE)</f>
        <v>-250.00638278180776</v>
      </c>
      <c r="F28" s="3" t="s">
        <v>66</v>
      </c>
      <c r="G28" s="9" t="str">
        <f t="shared" si="4"/>
        <v>27120.362</v>
      </c>
      <c r="H28" s="6">
        <f t="shared" si="5"/>
        <v>-250</v>
      </c>
      <c r="I28" s="32" t="s">
        <v>91</v>
      </c>
      <c r="J28" s="33" t="s">
        <v>92</v>
      </c>
      <c r="K28" s="32">
        <v>-250</v>
      </c>
      <c r="L28" s="32" t="s">
        <v>93</v>
      </c>
      <c r="M28" s="33" t="s">
        <v>72</v>
      </c>
      <c r="N28" s="33"/>
      <c r="O28" s="34" t="s">
        <v>87</v>
      </c>
      <c r="P28" s="34" t="s">
        <v>74</v>
      </c>
    </row>
    <row r="29" spans="1:16" ht="12.75" customHeight="1" thickBot="1" x14ac:dyDescent="0.25">
      <c r="A29" s="6" t="str">
        <f t="shared" si="0"/>
        <v> AN 255.184 </v>
      </c>
      <c r="B29" s="3" t="str">
        <f t="shared" si="1"/>
        <v>I</v>
      </c>
      <c r="C29" s="6">
        <f t="shared" si="2"/>
        <v>27421.437999999998</v>
      </c>
      <c r="D29" s="9" t="str">
        <f t="shared" si="3"/>
        <v>vis</v>
      </c>
      <c r="E29" s="31">
        <f>VLOOKUP(C29,Active!C$21:E$973,3,FALSE)</f>
        <v>-233.99219598544312</v>
      </c>
      <c r="F29" s="3" t="s">
        <v>66</v>
      </c>
      <c r="G29" s="9" t="str">
        <f t="shared" si="4"/>
        <v>27421.438</v>
      </c>
      <c r="H29" s="6">
        <f t="shared" si="5"/>
        <v>-234</v>
      </c>
      <c r="I29" s="32" t="s">
        <v>94</v>
      </c>
      <c r="J29" s="33" t="s">
        <v>95</v>
      </c>
      <c r="K29" s="32">
        <v>-234</v>
      </c>
      <c r="L29" s="32" t="s">
        <v>96</v>
      </c>
      <c r="M29" s="33" t="s">
        <v>72</v>
      </c>
      <c r="N29" s="33"/>
      <c r="O29" s="34" t="s">
        <v>87</v>
      </c>
      <c r="P29" s="34" t="s">
        <v>74</v>
      </c>
    </row>
    <row r="30" spans="1:16" ht="12.75" customHeight="1" thickBot="1" x14ac:dyDescent="0.25">
      <c r="A30" s="6" t="str">
        <f t="shared" si="0"/>
        <v> AN 255.184 </v>
      </c>
      <c r="B30" s="3" t="str">
        <f t="shared" si="1"/>
        <v>I</v>
      </c>
      <c r="C30" s="6">
        <f t="shared" si="2"/>
        <v>27421.481</v>
      </c>
      <c r="D30" s="9" t="str">
        <f t="shared" si="3"/>
        <v>vis</v>
      </c>
      <c r="E30" s="31">
        <f>VLOOKUP(C30,Active!C$21:E$973,3,FALSE)</f>
        <v>-233.9899088219619</v>
      </c>
      <c r="F30" s="3" t="s">
        <v>66</v>
      </c>
      <c r="G30" s="9" t="str">
        <f t="shared" si="4"/>
        <v>27421.481</v>
      </c>
      <c r="H30" s="6">
        <f t="shared" si="5"/>
        <v>-234</v>
      </c>
      <c r="I30" s="32" t="s">
        <v>97</v>
      </c>
      <c r="J30" s="33" t="s">
        <v>98</v>
      </c>
      <c r="K30" s="32">
        <v>-234</v>
      </c>
      <c r="L30" s="32" t="s">
        <v>99</v>
      </c>
      <c r="M30" s="33" t="s">
        <v>72</v>
      </c>
      <c r="N30" s="33"/>
      <c r="O30" s="34" t="s">
        <v>87</v>
      </c>
      <c r="P30" s="34" t="s">
        <v>74</v>
      </c>
    </row>
    <row r="31" spans="1:16" ht="12.75" customHeight="1" thickBot="1" x14ac:dyDescent="0.25">
      <c r="A31" s="6" t="str">
        <f t="shared" si="0"/>
        <v> AA 27.157 </v>
      </c>
      <c r="B31" s="3" t="str">
        <f t="shared" si="1"/>
        <v>I</v>
      </c>
      <c r="C31" s="6">
        <f t="shared" si="2"/>
        <v>28549.334999999999</v>
      </c>
      <c r="D31" s="9" t="str">
        <f t="shared" si="3"/>
        <v>vis</v>
      </c>
      <c r="E31" s="31">
        <f>VLOOKUP(C31,Active!C$21:E$973,3,FALSE)</f>
        <v>-173.99952554655235</v>
      </c>
      <c r="F31" s="3" t="s">
        <v>66</v>
      </c>
      <c r="G31" s="9" t="str">
        <f t="shared" si="4"/>
        <v>28549.335</v>
      </c>
      <c r="H31" s="6">
        <f t="shared" si="5"/>
        <v>-174</v>
      </c>
      <c r="I31" s="32" t="s">
        <v>100</v>
      </c>
      <c r="J31" s="33" t="s">
        <v>101</v>
      </c>
      <c r="K31" s="32">
        <v>-174</v>
      </c>
      <c r="L31" s="32" t="s">
        <v>102</v>
      </c>
      <c r="M31" s="33" t="s">
        <v>103</v>
      </c>
      <c r="N31" s="33"/>
      <c r="O31" s="34" t="s">
        <v>104</v>
      </c>
      <c r="P31" s="34" t="s">
        <v>105</v>
      </c>
    </row>
    <row r="32" spans="1:16" ht="12.75" customHeight="1" thickBot="1" x14ac:dyDescent="0.25">
      <c r="A32" s="6" t="str">
        <f t="shared" si="0"/>
        <v> HA 113.75 </v>
      </c>
      <c r="B32" s="3" t="str">
        <f t="shared" si="1"/>
        <v>I</v>
      </c>
      <c r="C32" s="6">
        <f t="shared" si="2"/>
        <v>30147.51</v>
      </c>
      <c r="D32" s="9" t="str">
        <f t="shared" si="3"/>
        <v>vis</v>
      </c>
      <c r="E32" s="31">
        <f>VLOOKUP(C32,Active!C$21:E$973,3,FALSE)</f>
        <v>-88.992839582608724</v>
      </c>
      <c r="F32" s="3" t="s">
        <v>66</v>
      </c>
      <c r="G32" s="9" t="str">
        <f t="shared" si="4"/>
        <v>30147.510</v>
      </c>
      <c r="H32" s="6">
        <f t="shared" si="5"/>
        <v>-89</v>
      </c>
      <c r="I32" s="32" t="s">
        <v>106</v>
      </c>
      <c r="J32" s="33" t="s">
        <v>107</v>
      </c>
      <c r="K32" s="32">
        <v>-89</v>
      </c>
      <c r="L32" s="32" t="s">
        <v>108</v>
      </c>
      <c r="M32" s="33" t="s">
        <v>68</v>
      </c>
      <c r="N32" s="33"/>
      <c r="O32" s="34" t="s">
        <v>109</v>
      </c>
      <c r="P32" s="34" t="s">
        <v>110</v>
      </c>
    </row>
    <row r="33" spans="1:16" ht="12.75" customHeight="1" thickBot="1" x14ac:dyDescent="0.25">
      <c r="A33" s="6" t="str">
        <f t="shared" si="0"/>
        <v> AJ 64.262 </v>
      </c>
      <c r="B33" s="3" t="str">
        <f t="shared" si="1"/>
        <v>I</v>
      </c>
      <c r="C33" s="6">
        <f t="shared" si="2"/>
        <v>30410.61</v>
      </c>
      <c r="D33" s="9" t="str">
        <f t="shared" si="3"/>
        <v>vis</v>
      </c>
      <c r="E33" s="31">
        <f>VLOOKUP(C33,Active!C$21:E$973,3,FALSE)</f>
        <v>-74.998590469017429</v>
      </c>
      <c r="F33" s="3" t="s">
        <v>66</v>
      </c>
      <c r="G33" s="9" t="str">
        <f t="shared" si="4"/>
        <v>30410.61</v>
      </c>
      <c r="H33" s="6">
        <f t="shared" si="5"/>
        <v>-75</v>
      </c>
      <c r="I33" s="32" t="s">
        <v>111</v>
      </c>
      <c r="J33" s="33" t="s">
        <v>112</v>
      </c>
      <c r="K33" s="32">
        <v>-75</v>
      </c>
      <c r="L33" s="32" t="s">
        <v>113</v>
      </c>
      <c r="M33" s="33" t="s">
        <v>68</v>
      </c>
      <c r="N33" s="33"/>
      <c r="O33" s="34" t="s">
        <v>114</v>
      </c>
      <c r="P33" s="34" t="s">
        <v>115</v>
      </c>
    </row>
    <row r="34" spans="1:16" ht="12.75" customHeight="1" thickBot="1" x14ac:dyDescent="0.25">
      <c r="A34" s="6" t="str">
        <f t="shared" si="0"/>
        <v> AJ 53.14 </v>
      </c>
      <c r="B34" s="3" t="str">
        <f t="shared" si="1"/>
        <v>I</v>
      </c>
      <c r="C34" s="6">
        <f t="shared" si="2"/>
        <v>30786.578000000001</v>
      </c>
      <c r="D34" s="9" t="str">
        <f t="shared" si="3"/>
        <v>vis</v>
      </c>
      <c r="E34" s="31">
        <f>VLOOKUP(C34,Active!C$21:E$973,3,FALSE)</f>
        <v>-55.000909546407563</v>
      </c>
      <c r="F34" s="3" t="s">
        <v>66</v>
      </c>
      <c r="G34" s="9" t="str">
        <f t="shared" si="4"/>
        <v>30786.578</v>
      </c>
      <c r="H34" s="6">
        <f t="shared" si="5"/>
        <v>-55</v>
      </c>
      <c r="I34" s="32" t="s">
        <v>116</v>
      </c>
      <c r="J34" s="33" t="s">
        <v>117</v>
      </c>
      <c r="K34" s="32">
        <v>-55</v>
      </c>
      <c r="L34" s="32" t="s">
        <v>118</v>
      </c>
      <c r="M34" s="33" t="s">
        <v>68</v>
      </c>
      <c r="N34" s="33"/>
      <c r="O34" s="34" t="s">
        <v>114</v>
      </c>
      <c r="P34" s="34" t="s">
        <v>119</v>
      </c>
    </row>
    <row r="35" spans="1:16" ht="12.75" customHeight="1" thickBot="1" x14ac:dyDescent="0.25">
      <c r="A35" s="6" t="str">
        <f t="shared" si="0"/>
        <v> AJ 64.262 </v>
      </c>
      <c r="B35" s="3" t="str">
        <f t="shared" si="1"/>
        <v>I</v>
      </c>
      <c r="C35" s="6">
        <f t="shared" si="2"/>
        <v>31820.625</v>
      </c>
      <c r="D35" s="9" t="str">
        <f t="shared" si="3"/>
        <v>vis</v>
      </c>
      <c r="E35" s="31">
        <f>VLOOKUP(C35,Active!C$21:E$973,3,FALSE)</f>
        <v>-1.0637969681826058E-4</v>
      </c>
      <c r="F35" s="3" t="s">
        <v>66</v>
      </c>
      <c r="G35" s="9" t="str">
        <f t="shared" si="4"/>
        <v>31820.625</v>
      </c>
      <c r="H35" s="6">
        <f t="shared" si="5"/>
        <v>0</v>
      </c>
      <c r="I35" s="32" t="s">
        <v>120</v>
      </c>
      <c r="J35" s="33" t="s">
        <v>121</v>
      </c>
      <c r="K35" s="32">
        <v>0</v>
      </c>
      <c r="L35" s="32" t="s">
        <v>122</v>
      </c>
      <c r="M35" s="33" t="s">
        <v>68</v>
      </c>
      <c r="N35" s="33"/>
      <c r="O35" s="34" t="s">
        <v>114</v>
      </c>
      <c r="P35" s="34" t="s">
        <v>115</v>
      </c>
    </row>
    <row r="36" spans="1:16" ht="12.75" customHeight="1" thickBot="1" x14ac:dyDescent="0.25">
      <c r="A36" s="6" t="str">
        <f t="shared" si="0"/>
        <v> AJ 53.14 </v>
      </c>
      <c r="B36" s="3" t="str">
        <f t="shared" si="1"/>
        <v>I</v>
      </c>
      <c r="C36" s="6">
        <f t="shared" si="2"/>
        <v>31820.634999999998</v>
      </c>
      <c r="D36" s="9" t="str">
        <f t="shared" si="3"/>
        <v>vis</v>
      </c>
      <c r="E36" s="31">
        <f>VLOOKUP(C36,Active!C$21:E$973,3,FALSE)</f>
        <v>4.2551878707953881E-4</v>
      </c>
      <c r="F36" s="3" t="s">
        <v>66</v>
      </c>
      <c r="G36" s="9" t="str">
        <f t="shared" si="4"/>
        <v>31820.635</v>
      </c>
      <c r="H36" s="6">
        <f t="shared" si="5"/>
        <v>0</v>
      </c>
      <c r="I36" s="32" t="s">
        <v>123</v>
      </c>
      <c r="J36" s="33" t="s">
        <v>124</v>
      </c>
      <c r="K36" s="32">
        <v>0</v>
      </c>
      <c r="L36" s="32" t="s">
        <v>125</v>
      </c>
      <c r="M36" s="33" t="s">
        <v>68</v>
      </c>
      <c r="N36" s="33"/>
      <c r="O36" s="34" t="s">
        <v>114</v>
      </c>
      <c r="P36" s="34" t="s">
        <v>119</v>
      </c>
    </row>
    <row r="37" spans="1:16" ht="12.75" customHeight="1" thickBot="1" x14ac:dyDescent="0.25">
      <c r="A37" s="6" t="str">
        <f t="shared" si="0"/>
        <v> AJ 53.14 </v>
      </c>
      <c r="B37" s="3" t="str">
        <f t="shared" si="1"/>
        <v>I</v>
      </c>
      <c r="C37" s="6">
        <f t="shared" si="2"/>
        <v>32177.839</v>
      </c>
      <c r="D37" s="9" t="str">
        <f t="shared" si="3"/>
        <v>vis</v>
      </c>
      <c r="E37" s="31">
        <f>VLOOKUP(C37,Active!C$21:E$973,3,FALSE)</f>
        <v>19.000052126051404</v>
      </c>
      <c r="F37" s="3" t="s">
        <v>66</v>
      </c>
      <c r="G37" s="9" t="str">
        <f t="shared" si="4"/>
        <v>32177.839</v>
      </c>
      <c r="H37" s="6">
        <f t="shared" si="5"/>
        <v>19</v>
      </c>
      <c r="I37" s="32" t="s">
        <v>126</v>
      </c>
      <c r="J37" s="33" t="s">
        <v>127</v>
      </c>
      <c r="K37" s="32">
        <v>19</v>
      </c>
      <c r="L37" s="32" t="s">
        <v>128</v>
      </c>
      <c r="M37" s="33" t="s">
        <v>68</v>
      </c>
      <c r="N37" s="33"/>
      <c r="O37" s="34" t="s">
        <v>114</v>
      </c>
      <c r="P37" s="34" t="s">
        <v>119</v>
      </c>
    </row>
    <row r="38" spans="1:16" ht="12.75" customHeight="1" thickBot="1" x14ac:dyDescent="0.25">
      <c r="A38" s="6" t="str">
        <f t="shared" si="0"/>
        <v> AJ 64.262 </v>
      </c>
      <c r="B38" s="3" t="str">
        <f t="shared" si="1"/>
        <v>I</v>
      </c>
      <c r="C38" s="6">
        <f t="shared" si="2"/>
        <v>32553.845000000001</v>
      </c>
      <c r="D38" s="9" t="str">
        <f t="shared" si="3"/>
        <v>vis</v>
      </c>
      <c r="E38" s="31">
        <f>VLOOKUP(C38,Active!C$21:E$973,3,FALSE)</f>
        <v>38.999754262900439</v>
      </c>
      <c r="F38" s="3" t="s">
        <v>66</v>
      </c>
      <c r="G38" s="9" t="str">
        <f t="shared" si="4"/>
        <v>32553.845</v>
      </c>
      <c r="H38" s="6">
        <f t="shared" si="5"/>
        <v>39</v>
      </c>
      <c r="I38" s="32" t="s">
        <v>129</v>
      </c>
      <c r="J38" s="33" t="s">
        <v>130</v>
      </c>
      <c r="K38" s="32">
        <v>39</v>
      </c>
      <c r="L38" s="32" t="s">
        <v>131</v>
      </c>
      <c r="M38" s="33" t="s">
        <v>68</v>
      </c>
      <c r="N38" s="33"/>
      <c r="O38" s="34" t="s">
        <v>114</v>
      </c>
      <c r="P38" s="34" t="s">
        <v>115</v>
      </c>
    </row>
    <row r="39" spans="1:16" ht="12.75" customHeight="1" thickBot="1" x14ac:dyDescent="0.25">
      <c r="A39" s="6" t="str">
        <f t="shared" si="0"/>
        <v> AAC 5.5 </v>
      </c>
      <c r="B39" s="3" t="str">
        <f t="shared" si="1"/>
        <v>I</v>
      </c>
      <c r="C39" s="6">
        <f t="shared" si="2"/>
        <v>32892.271999999997</v>
      </c>
      <c r="D39" s="9" t="str">
        <f t="shared" si="3"/>
        <v>vis</v>
      </c>
      <c r="E39" s="31">
        <f>VLOOKUP(C39,Active!C$21:E$973,3,FALSE)</f>
        <v>57.000635086789707</v>
      </c>
      <c r="F39" s="3" t="s">
        <v>66</v>
      </c>
      <c r="G39" s="9" t="str">
        <f t="shared" si="4"/>
        <v>32892.272</v>
      </c>
      <c r="H39" s="6">
        <f t="shared" si="5"/>
        <v>57</v>
      </c>
      <c r="I39" s="32" t="s">
        <v>132</v>
      </c>
      <c r="J39" s="33" t="s">
        <v>133</v>
      </c>
      <c r="K39" s="32">
        <v>57</v>
      </c>
      <c r="L39" s="32" t="s">
        <v>134</v>
      </c>
      <c r="M39" s="33" t="s">
        <v>103</v>
      </c>
      <c r="N39" s="33"/>
      <c r="O39" s="34" t="s">
        <v>135</v>
      </c>
      <c r="P39" s="34" t="s">
        <v>136</v>
      </c>
    </row>
    <row r="40" spans="1:16" ht="12.75" customHeight="1" thickBot="1" x14ac:dyDescent="0.25">
      <c r="A40" s="6" t="str">
        <f t="shared" si="0"/>
        <v> AJ 64.262 </v>
      </c>
      <c r="B40" s="3" t="str">
        <f t="shared" si="1"/>
        <v>I</v>
      </c>
      <c r="C40" s="6">
        <f t="shared" si="2"/>
        <v>33569.093000000001</v>
      </c>
      <c r="D40" s="9" t="str">
        <f t="shared" si="3"/>
        <v>vis</v>
      </c>
      <c r="E40" s="31">
        <f>VLOOKUP(C40,Active!C$21:E$973,3,FALSE)</f>
        <v>93.000641469571704</v>
      </c>
      <c r="F40" s="3" t="s">
        <v>66</v>
      </c>
      <c r="G40" s="9" t="str">
        <f t="shared" si="4"/>
        <v>33569.093</v>
      </c>
      <c r="H40" s="6">
        <f t="shared" si="5"/>
        <v>93</v>
      </c>
      <c r="I40" s="32" t="s">
        <v>137</v>
      </c>
      <c r="J40" s="33" t="s">
        <v>138</v>
      </c>
      <c r="K40" s="32">
        <v>93</v>
      </c>
      <c r="L40" s="32" t="s">
        <v>134</v>
      </c>
      <c r="M40" s="33" t="s">
        <v>68</v>
      </c>
      <c r="N40" s="33"/>
      <c r="O40" s="34" t="s">
        <v>114</v>
      </c>
      <c r="P40" s="34" t="s">
        <v>115</v>
      </c>
    </row>
    <row r="41" spans="1:16" ht="12.75" customHeight="1" thickBot="1" x14ac:dyDescent="0.25">
      <c r="A41" s="6" t="str">
        <f t="shared" si="0"/>
        <v> AJ 64.262 </v>
      </c>
      <c r="B41" s="3" t="str">
        <f t="shared" si="1"/>
        <v>I</v>
      </c>
      <c r="C41" s="6">
        <f t="shared" si="2"/>
        <v>34452.697999999997</v>
      </c>
      <c r="D41" s="9" t="str">
        <f t="shared" si="3"/>
        <v>vis</v>
      </c>
      <c r="E41" s="31">
        <f>VLOOKUP(C41,Active!C$21:E$973,3,FALSE)</f>
        <v>139.99945746354615</v>
      </c>
      <c r="F41" s="3" t="s">
        <v>66</v>
      </c>
      <c r="G41" s="9" t="str">
        <f t="shared" si="4"/>
        <v>34452.698</v>
      </c>
      <c r="H41" s="6">
        <f t="shared" si="5"/>
        <v>140</v>
      </c>
      <c r="I41" s="32" t="s">
        <v>139</v>
      </c>
      <c r="J41" s="33" t="s">
        <v>140</v>
      </c>
      <c r="K41" s="32">
        <v>140</v>
      </c>
      <c r="L41" s="32" t="s">
        <v>141</v>
      </c>
      <c r="M41" s="33" t="s">
        <v>68</v>
      </c>
      <c r="N41" s="33"/>
      <c r="O41" s="34" t="s">
        <v>114</v>
      </c>
      <c r="P41" s="34" t="s">
        <v>115</v>
      </c>
    </row>
    <row r="42" spans="1:16" ht="12.75" customHeight="1" thickBot="1" x14ac:dyDescent="0.25">
      <c r="A42" s="6" t="str">
        <f t="shared" si="0"/>
        <v> AJ 64.262 </v>
      </c>
      <c r="B42" s="3" t="str">
        <f t="shared" si="1"/>
        <v>I</v>
      </c>
      <c r="C42" s="6">
        <f t="shared" si="2"/>
        <v>35204.733999999997</v>
      </c>
      <c r="D42" s="9" t="str">
        <f t="shared" si="3"/>
        <v>vis</v>
      </c>
      <c r="E42" s="31">
        <f>VLOOKUP(C42,Active!C$21:E$973,3,FALSE)</f>
        <v>180.00013829360563</v>
      </c>
      <c r="F42" s="3" t="s">
        <v>66</v>
      </c>
      <c r="G42" s="9" t="str">
        <f t="shared" si="4"/>
        <v>35204.734</v>
      </c>
      <c r="H42" s="6">
        <f t="shared" si="5"/>
        <v>180</v>
      </c>
      <c r="I42" s="32" t="s">
        <v>142</v>
      </c>
      <c r="J42" s="33" t="s">
        <v>143</v>
      </c>
      <c r="K42" s="32">
        <v>180</v>
      </c>
      <c r="L42" s="32" t="s">
        <v>144</v>
      </c>
      <c r="M42" s="33" t="s">
        <v>68</v>
      </c>
      <c r="N42" s="33"/>
      <c r="O42" s="34" t="s">
        <v>114</v>
      </c>
      <c r="P42" s="34" t="s">
        <v>115</v>
      </c>
    </row>
    <row r="43" spans="1:16" ht="12.75" customHeight="1" thickBot="1" x14ac:dyDescent="0.25">
      <c r="A43" s="6" t="str">
        <f t="shared" si="0"/>
        <v> AA 8.191 </v>
      </c>
      <c r="B43" s="3" t="str">
        <f t="shared" si="1"/>
        <v>I</v>
      </c>
      <c r="C43" s="6">
        <f t="shared" si="2"/>
        <v>36163.85</v>
      </c>
      <c r="D43" s="9" t="str">
        <f t="shared" si="3"/>
        <v>vis</v>
      </c>
      <c r="E43" s="31">
        <f>VLOOKUP(C43,Active!C$21:E$973,3,FALSE)</f>
        <v>231.01537292998398</v>
      </c>
      <c r="F43" s="3" t="s">
        <v>66</v>
      </c>
      <c r="G43" s="9" t="str">
        <f t="shared" si="4"/>
        <v>36163.85</v>
      </c>
      <c r="H43" s="6">
        <f t="shared" si="5"/>
        <v>231</v>
      </c>
      <c r="I43" s="32" t="s">
        <v>145</v>
      </c>
      <c r="J43" s="33" t="s">
        <v>146</v>
      </c>
      <c r="K43" s="32">
        <v>231</v>
      </c>
      <c r="L43" s="32" t="s">
        <v>147</v>
      </c>
      <c r="M43" s="33" t="s">
        <v>103</v>
      </c>
      <c r="N43" s="33"/>
      <c r="O43" s="34" t="s">
        <v>135</v>
      </c>
      <c r="P43" s="34" t="s">
        <v>148</v>
      </c>
    </row>
    <row r="44" spans="1:16" ht="12.75" customHeight="1" thickBot="1" x14ac:dyDescent="0.25">
      <c r="A44" s="6" t="str">
        <f t="shared" si="0"/>
        <v> AJ 64.262 </v>
      </c>
      <c r="B44" s="3" t="str">
        <f t="shared" si="1"/>
        <v>I</v>
      </c>
      <c r="C44" s="6">
        <f t="shared" si="2"/>
        <v>36257.557000000001</v>
      </c>
      <c r="D44" s="9" t="str">
        <f t="shared" si="3"/>
        <v>vis</v>
      </c>
      <c r="E44" s="31">
        <f>VLOOKUP(C44,Active!C$21:E$973,3,FALSE)</f>
        <v>235.99963405384304</v>
      </c>
      <c r="F44" s="3" t="s">
        <v>66</v>
      </c>
      <c r="G44" s="9" t="str">
        <f t="shared" si="4"/>
        <v>36257.557</v>
      </c>
      <c r="H44" s="6">
        <f t="shared" si="5"/>
        <v>236</v>
      </c>
      <c r="I44" s="32" t="s">
        <v>149</v>
      </c>
      <c r="J44" s="33" t="s">
        <v>150</v>
      </c>
      <c r="K44" s="32">
        <v>236</v>
      </c>
      <c r="L44" s="32" t="s">
        <v>151</v>
      </c>
      <c r="M44" s="33" t="s">
        <v>68</v>
      </c>
      <c r="N44" s="33"/>
      <c r="O44" s="34" t="s">
        <v>114</v>
      </c>
      <c r="P44" s="34" t="s">
        <v>115</v>
      </c>
    </row>
    <row r="45" spans="1:16" ht="12.75" customHeight="1" thickBot="1" x14ac:dyDescent="0.25">
      <c r="A45" s="6" t="str">
        <f t="shared" si="0"/>
        <v> AVSJ 3.65 </v>
      </c>
      <c r="B45" s="3" t="str">
        <f t="shared" si="1"/>
        <v>I</v>
      </c>
      <c r="C45" s="6">
        <f t="shared" si="2"/>
        <v>39829.646999999997</v>
      </c>
      <c r="D45" s="9" t="str">
        <f t="shared" si="3"/>
        <v>vis</v>
      </c>
      <c r="E45" s="31">
        <f>VLOOKUP(C45,Active!C$21:E$973,3,FALSE)</f>
        <v>425.99855961890518</v>
      </c>
      <c r="F45" s="3" t="s">
        <v>66</v>
      </c>
      <c r="G45" s="9" t="str">
        <f t="shared" si="4"/>
        <v>39829.647</v>
      </c>
      <c r="H45" s="6">
        <f t="shared" si="5"/>
        <v>426</v>
      </c>
      <c r="I45" s="32" t="s">
        <v>152</v>
      </c>
      <c r="J45" s="33" t="s">
        <v>153</v>
      </c>
      <c r="K45" s="32">
        <v>426</v>
      </c>
      <c r="L45" s="32" t="s">
        <v>154</v>
      </c>
      <c r="M45" s="33" t="s">
        <v>103</v>
      </c>
      <c r="N45" s="33"/>
      <c r="O45" s="34" t="s">
        <v>155</v>
      </c>
      <c r="P45" s="34" t="s">
        <v>156</v>
      </c>
    </row>
    <row r="46" spans="1:16" ht="12.75" customHeight="1" thickBot="1" x14ac:dyDescent="0.25">
      <c r="A46" s="6" t="str">
        <f t="shared" si="0"/>
        <v>BAVM 157 </v>
      </c>
      <c r="B46" s="3" t="str">
        <f t="shared" si="1"/>
        <v>I</v>
      </c>
      <c r="C46" s="6">
        <f t="shared" si="2"/>
        <v>52689.290999999997</v>
      </c>
      <c r="D46" s="9" t="str">
        <f t="shared" si="3"/>
        <v>vis</v>
      </c>
      <c r="E46" s="31">
        <f>VLOOKUP(C46,Active!C$21:E$973,3,FALSE)</f>
        <v>1110.0010744349374</v>
      </c>
      <c r="F46" s="3" t="s">
        <v>66</v>
      </c>
      <c r="G46" s="9" t="str">
        <f t="shared" si="4"/>
        <v>52689.291</v>
      </c>
      <c r="H46" s="6">
        <f t="shared" si="5"/>
        <v>1110</v>
      </c>
      <c r="I46" s="32" t="s">
        <v>181</v>
      </c>
      <c r="J46" s="33" t="s">
        <v>182</v>
      </c>
      <c r="K46" s="32">
        <v>1110</v>
      </c>
      <c r="L46" s="32" t="s">
        <v>183</v>
      </c>
      <c r="M46" s="33" t="s">
        <v>103</v>
      </c>
      <c r="N46" s="33"/>
      <c r="O46" s="34" t="s">
        <v>184</v>
      </c>
      <c r="P46" s="35" t="s">
        <v>185</v>
      </c>
    </row>
    <row r="47" spans="1:16" x14ac:dyDescent="0.2">
      <c r="B47" s="3"/>
      <c r="E47" s="31"/>
      <c r="F47" s="3"/>
    </row>
    <row r="48" spans="1:1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</sheetData>
  <phoneticPr fontId="7" type="noConversion"/>
  <hyperlinks>
    <hyperlink ref="P15" r:id="rId1" display="http://www.konkoly.hu/cgi-bin/IBVS?5357"/>
    <hyperlink ref="P46" r:id="rId2" display="http://www.bav-astro.de/sfs/BAVM_link.php?BAVMnr=157"/>
    <hyperlink ref="P16" r:id="rId3" display="http://www.konkoly.hu/cgi-bin/IBVS?5577"/>
    <hyperlink ref="P17" r:id="rId4" display="http://var.astro.cz/oejv/issues/oejv0116.pdf"/>
    <hyperlink ref="P18" r:id="rId5" display="http://www.konkoly.hu/cgi-bin/IBVS?5871"/>
    <hyperlink ref="P19" r:id="rId6" display="http://www.konkoly.hu/cgi-bin/IBVS?5972"/>
    <hyperlink ref="P20" r:id="rId7" display="http://www.konkoly.hu/cgi-bin/IBVS?5972"/>
    <hyperlink ref="P21" r:id="rId8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2024-02-28T06:20:44Z</dcterms:modified>
</cp:coreProperties>
</file>