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8DDB07-0362-46BA-B5D7-DEBE340D54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3" i="1"/>
  <c r="Q22" i="1"/>
  <c r="Q21" i="1"/>
  <c r="G15" i="2"/>
  <c r="C15" i="2"/>
  <c r="G14" i="2"/>
  <c r="C14" i="2"/>
  <c r="G13" i="2"/>
  <c r="C13" i="2"/>
  <c r="G12" i="2"/>
  <c r="C1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1" i="2"/>
  <c r="C11" i="2"/>
  <c r="G18" i="2"/>
  <c r="C18" i="2"/>
  <c r="G17" i="2"/>
  <c r="C17" i="2"/>
  <c r="G16" i="2"/>
  <c r="C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1" i="2"/>
  <c r="B11" i="2"/>
  <c r="D11" i="2"/>
  <c r="A11" i="2"/>
  <c r="H18" i="2"/>
  <c r="B18" i="2"/>
  <c r="D18" i="2"/>
  <c r="A18" i="2"/>
  <c r="H17" i="2"/>
  <c r="B17" i="2"/>
  <c r="D17" i="2"/>
  <c r="A17" i="2"/>
  <c r="H16" i="2"/>
  <c r="B16" i="2"/>
  <c r="D16" i="2"/>
  <c r="A16" i="2"/>
  <c r="Q41" i="1"/>
  <c r="F16" i="1"/>
  <c r="Q40" i="1"/>
  <c r="Q39" i="1"/>
  <c r="Q38" i="1"/>
  <c r="C7" i="1"/>
  <c r="C8" i="1"/>
  <c r="C17" i="1"/>
  <c r="Q24" i="1"/>
  <c r="E18" i="2"/>
  <c r="E12" i="2"/>
  <c r="E22" i="2"/>
  <c r="E23" i="2"/>
  <c r="E28" i="2"/>
  <c r="E15" i="2"/>
  <c r="E17" i="2"/>
  <c r="E25" i="2"/>
  <c r="E31" i="2"/>
  <c r="G22" i="1"/>
  <c r="K22" i="1"/>
  <c r="E38" i="1"/>
  <c r="F38" i="1"/>
  <c r="G31" i="1"/>
  <c r="K31" i="1"/>
  <c r="E26" i="1"/>
  <c r="E35" i="1"/>
  <c r="E31" i="1"/>
  <c r="F31" i="1"/>
  <c r="E22" i="1"/>
  <c r="F22" i="1"/>
  <c r="E41" i="1"/>
  <c r="F41" i="1"/>
  <c r="G41" i="1"/>
  <c r="I41" i="1"/>
  <c r="G34" i="1"/>
  <c r="K34" i="1"/>
  <c r="G30" i="1"/>
  <c r="K30" i="1"/>
  <c r="E28" i="1"/>
  <c r="F28" i="1"/>
  <c r="G28" i="1"/>
  <c r="K28" i="1"/>
  <c r="G40" i="1"/>
  <c r="I40" i="1"/>
  <c r="E24" i="1"/>
  <c r="F24" i="1"/>
  <c r="G24" i="1"/>
  <c r="H24" i="1"/>
  <c r="E34" i="1"/>
  <c r="F34" i="1"/>
  <c r="E25" i="1"/>
  <c r="F25" i="1"/>
  <c r="G25" i="1"/>
  <c r="K25" i="1"/>
  <c r="E40" i="1"/>
  <c r="F40" i="1"/>
  <c r="G33" i="1"/>
  <c r="K33" i="1"/>
  <c r="E30" i="1"/>
  <c r="F30" i="1"/>
  <c r="E21" i="1"/>
  <c r="F21" i="1"/>
  <c r="G21" i="1"/>
  <c r="G39" i="1"/>
  <c r="I39" i="1"/>
  <c r="E37" i="1"/>
  <c r="F37" i="1"/>
  <c r="G37" i="1"/>
  <c r="K37" i="1"/>
  <c r="E33" i="1"/>
  <c r="F33" i="1"/>
  <c r="G29" i="1"/>
  <c r="K29" i="1"/>
  <c r="E27" i="1"/>
  <c r="E39" i="1"/>
  <c r="F39" i="1"/>
  <c r="G32" i="1"/>
  <c r="K32" i="1"/>
  <c r="E23" i="1"/>
  <c r="F23" i="1"/>
  <c r="G23" i="1"/>
  <c r="K23" i="1"/>
  <c r="G38" i="1"/>
  <c r="I38" i="1"/>
  <c r="E36" i="1"/>
  <c r="F36" i="1"/>
  <c r="G36" i="1"/>
  <c r="K36" i="1"/>
  <c r="E32" i="1"/>
  <c r="F32" i="1"/>
  <c r="E29" i="1"/>
  <c r="F29" i="1"/>
  <c r="K21" i="1"/>
  <c r="E26" i="2"/>
  <c r="F35" i="1"/>
  <c r="G35" i="1"/>
  <c r="K35" i="1"/>
  <c r="E29" i="2"/>
  <c r="F26" i="1"/>
  <c r="G26" i="1"/>
  <c r="E20" i="2"/>
  <c r="E14" i="2"/>
  <c r="E11" i="2"/>
  <c r="E30" i="2"/>
  <c r="E24" i="2"/>
  <c r="E13" i="2"/>
  <c r="F27" i="1"/>
  <c r="G27" i="1"/>
  <c r="K27" i="1"/>
  <c r="E21" i="2"/>
  <c r="E16" i="2"/>
  <c r="E19" i="2"/>
  <c r="E27" i="2"/>
  <c r="K26" i="1"/>
  <c r="C11" i="1"/>
  <c r="C12" i="1"/>
  <c r="C16" i="1" l="1"/>
  <c r="D18" i="1" s="1"/>
  <c r="O39" i="1"/>
  <c r="R39" i="1" s="1"/>
  <c r="O31" i="1"/>
  <c r="R31" i="1" s="1"/>
  <c r="O22" i="1"/>
  <c r="R22" i="1" s="1"/>
  <c r="O34" i="1"/>
  <c r="R34" i="1" s="1"/>
  <c r="O26" i="1"/>
  <c r="R26" i="1" s="1"/>
  <c r="C15" i="1"/>
  <c r="F18" i="1" s="1"/>
  <c r="O30" i="1"/>
  <c r="R30" i="1" s="1"/>
  <c r="O37" i="1"/>
  <c r="R37" i="1" s="1"/>
  <c r="O29" i="1"/>
  <c r="R29" i="1" s="1"/>
  <c r="O24" i="1"/>
  <c r="R24" i="1" s="1"/>
  <c r="O32" i="1"/>
  <c r="R32" i="1" s="1"/>
  <c r="O23" i="1"/>
  <c r="R23" i="1" s="1"/>
  <c r="O38" i="1"/>
  <c r="R38" i="1" s="1"/>
  <c r="O35" i="1"/>
  <c r="R35" i="1" s="1"/>
  <c r="O27" i="1"/>
  <c r="R27" i="1" s="1"/>
  <c r="O21" i="1"/>
  <c r="R21" i="1" s="1"/>
  <c r="O40" i="1"/>
  <c r="R40" i="1" s="1"/>
  <c r="O33" i="1"/>
  <c r="R33" i="1" s="1"/>
  <c r="O25" i="1"/>
  <c r="R25" i="1" s="1"/>
  <c r="O36" i="1"/>
  <c r="R36" i="1" s="1"/>
  <c r="O28" i="1"/>
  <c r="R28" i="1" s="1"/>
  <c r="O41" i="1"/>
  <c r="R41" i="1" s="1"/>
  <c r="F17" i="1"/>
  <c r="R19" i="1" l="1"/>
  <c r="C18" i="1"/>
  <c r="F19" i="1"/>
</calcChain>
</file>

<file path=xl/sharedStrings.xml><?xml version="1.0" encoding="utf-8"?>
<sst xmlns="http://schemas.openxmlformats.org/spreadsheetml/2006/main" count="252" uniqueCount="138">
  <si>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</si>
  <si>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</si>
  <si>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</si>
  <si>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</si>
  <si>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</si>
  <si>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</si>
  <si>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</si>
  <si>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</si>
  <si>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</si>
  <si>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</si>
  <si>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</si>
  <si>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</si>
  <si>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</si>
  <si>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</si>
  <si>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</si>
  <si>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</si>
  <si>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</si>
  <si>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</si>
  <si>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</si>
  <si>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</si>
  <si>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</si>
  <si>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</si>
  <si>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</si>
  <si>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</si>
  <si>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</si>
  <si>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</si>
  <si>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</si>
  <si>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</si>
  <si>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</si>
  <si>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</si>
  <si>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</si>
  <si>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</si>
  <si>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</si>
  <si>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</si>
  <si>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</si>
  <si>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</si>
  <si>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</si>
  <si>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EW</t>
  </si>
  <si>
    <t>Ori_V0519.xls</t>
  </si>
  <si>
    <t>IBVS 5731</t>
  </si>
  <si>
    <t>IBVS 5874</t>
  </si>
  <si>
    <t>I</t>
  </si>
  <si>
    <t>Add cycle</t>
  </si>
  <si>
    <t>Old Cycle</t>
  </si>
  <si>
    <t>IBVS 5960</t>
  </si>
  <si>
    <t>EA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</si>
  <si>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</si>
  <si>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</si>
  <si>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</si>
  <si>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</si>
  <si>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</si>
  <si>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</si>
  <si>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</si>
  <si>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</si>
  <si>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</si>
  <si>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</si>
  <si>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</si>
  <si>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</si>
  <si>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2430262.603 </t>
  </si>
  <si>
    <t> 25.09.1941 02:28 </t>
  </si>
  <si>
    <t> 0.178 </t>
  </si>
  <si>
    <t>P </t>
  </si>
  <si>
    <t> W.Götz </t>
  </si>
  <si>
    <t> VSS 4.260 </t>
  </si>
  <si>
    <t>2430764.345 </t>
  </si>
  <si>
    <t> 08.02.1943 20:16 </t>
  </si>
  <si>
    <t> 0.053 </t>
  </si>
  <si>
    <t>2430778.279 </t>
  </si>
  <si>
    <t> 22.02.1943 18:41 </t>
  </si>
  <si>
    <t> 0.003 </t>
  </si>
  <si>
    <t>2431003.573 </t>
  </si>
  <si>
    <t> 06.10.1943 01:45 </t>
  </si>
  <si>
    <t> 0.000 </t>
  </si>
  <si>
    <t>2431028.579 </t>
  </si>
  <si>
    <t> 31.10.1943 01:53 </t>
  </si>
  <si>
    <t> 0.146 </t>
  </si>
  <si>
    <t>2431443.444 </t>
  </si>
  <si>
    <t> 18.12.1944 22:39 </t>
  </si>
  <si>
    <t> 0.154 </t>
  </si>
  <si>
    <t>2431741.605 </t>
  </si>
  <si>
    <t> 13.10.1945 02:31 </t>
  </si>
  <si>
    <t> -0.009 </t>
  </si>
  <si>
    <t>2431763.467 </t>
  </si>
  <si>
    <t> 03.11.1945 23:12 </t>
  </si>
  <si>
    <t> 0.100 </t>
  </si>
  <si>
    <t>2433657.344 </t>
  </si>
  <si>
    <t> 10.01.1951 20:15 </t>
  </si>
  <si>
    <t> -0.068 </t>
  </si>
  <si>
    <t>2434086.342 </t>
  </si>
  <si>
    <t> 14.03.1952 20:12 </t>
  </si>
  <si>
    <t> 0.089 </t>
  </si>
  <si>
    <t>2435018.514 </t>
  </si>
  <si>
    <t> 03.10.1954 00:20 </t>
  </si>
  <si>
    <t> -0.001 </t>
  </si>
  <si>
    <t>2435127.410 </t>
  </si>
  <si>
    <t> 19.01.1955 21:50 </t>
  </si>
  <si>
    <t> 0.131 </t>
  </si>
  <si>
    <t>2435399.476 </t>
  </si>
  <si>
    <t> 18.10.1955 23:25 </t>
  </si>
  <si>
    <t> 0.288 </t>
  </si>
  <si>
    <t>2435419.413 </t>
  </si>
  <si>
    <t> 07.11.1955 21:54 </t>
  </si>
  <si>
    <t> 0.026 </t>
  </si>
  <si>
    <t>2435483.285 </t>
  </si>
  <si>
    <t> 10.01.1956 18:50 </t>
  </si>
  <si>
    <t> 0.193 </t>
  </si>
  <si>
    <t>2435503.309 </t>
  </si>
  <si>
    <t> 30.01.1956 19:24 </t>
  </si>
  <si>
    <t> 0.018 </t>
  </si>
  <si>
    <t>2435545.301 </t>
  </si>
  <si>
    <t> 12.03.1956 19:13 </t>
  </si>
  <si>
    <t> 0.058 </t>
  </si>
  <si>
    <t>2453766.2796 </t>
  </si>
  <si>
    <t> 30.01.2006 18:42 </t>
  </si>
  <si>
    <t> -0.0239 </t>
  </si>
  <si>
    <t>C </t>
  </si>
  <si>
    <t>-I</t>
  </si>
  <si>
    <t> F.Agerer </t>
  </si>
  <si>
    <t>BAVM 178 </t>
  </si>
  <si>
    <t>2454500.3408 </t>
  </si>
  <si>
    <t> 03.02.2008 20:10 </t>
  </si>
  <si>
    <t>7561</t>
  </si>
  <si>
    <t> 0.6579 </t>
  </si>
  <si>
    <t>BAVM 201 </t>
  </si>
  <si>
    <t>2455528.8576 </t>
  </si>
  <si>
    <t> 28.11.2010 08:34 </t>
  </si>
  <si>
    <t>7892</t>
  </si>
  <si>
    <t> 0.5789 </t>
  </si>
  <si>
    <t> R.Diethelm </t>
  </si>
  <si>
    <t>IBVS 5960 </t>
  </si>
  <si>
    <t>2455958.6882 </t>
  </si>
  <si>
    <t> 01.02.2012 04:31 </t>
  </si>
  <si>
    <t>8030.5</t>
  </si>
  <si>
    <t> 0.0152 </t>
  </si>
  <si>
    <t>IBVS 6029 </t>
  </si>
  <si>
    <t>II</t>
  </si>
  <si>
    <t>V0519 Ori / GSC 0714-0167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</si>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</sst>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72" fontId="0" fillId="0" borderId="0" xfId="0" applyNumberFormat="1" applyAlignment="1"/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>
      <alignment vertical="top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Ori - O-C Diagr.</a:t>
            </a:r>
          </a:p>
        </c:rich>
      </c:tx>
      <c:layout>
        <c:manualLayout>
          <c:xMode val="edge"/>
          <c:yMode val="edge"/>
          <c:x val="0.3761613157488440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8306925057842"/>
          <c:y val="0.13994189017784567"/>
          <c:w val="0.825078023018774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EC-43B4-845F-9B223521CA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7">
                  <c:v>-2.3900000000139698E-2</c:v>
                </c:pt>
                <c:pt idx="18">
                  <c:v>0.65785999999934575</c:v>
                </c:pt>
                <c:pt idx="19">
                  <c:v>0.57891999999992549</c:v>
                </c:pt>
                <c:pt idx="20">
                  <c:v>1.5229999997245613E-2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EC-43B4-845F-9B223521CA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EC-43B4-845F-9B223521CA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0.17828999999983353</c:v>
                </c:pt>
                <c:pt idx="1">
                  <c:v>5.2579999999579741E-2</c:v>
                </c:pt>
                <c:pt idx="2">
                  <c:v>2.6499999985389877E-3</c:v>
                </c:pt>
                <c:pt idx="4">
                  <c:v>0.14568000000144821</c:v>
                </c:pt>
                <c:pt idx="5">
                  <c:v>0.15408999999999651</c:v>
                </c:pt>
                <c:pt idx="6">
                  <c:v>-8.7500000008731149E-3</c:v>
                </c:pt>
                <c:pt idx="7">
                  <c:v>0.10047000000122353</c:v>
                </c:pt>
                <c:pt idx="8">
                  <c:v>-6.8160000002535526E-2</c:v>
                </c:pt>
                <c:pt idx="9">
                  <c:v>8.931999999913387E-2</c:v>
                </c:pt>
                <c:pt idx="10">
                  <c:v>-6.7999999737367034E-4</c:v>
                </c:pt>
                <c:pt idx="11">
                  <c:v>0.13142000000516418</c:v>
                </c:pt>
                <c:pt idx="12">
                  <c:v>0.28766999999788823</c:v>
                </c:pt>
                <c:pt idx="13">
                  <c:v>2.5659999999334104E-2</c:v>
                </c:pt>
                <c:pt idx="14">
                  <c:v>0.1930900000006659</c:v>
                </c:pt>
                <c:pt idx="15">
                  <c:v>1.8080000001646113E-2</c:v>
                </c:pt>
                <c:pt idx="16">
                  <c:v>5.829000000085216E-2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EC-43B4-845F-9B223521CA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EC-43B4-845F-9B223521CA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EC-43B4-845F-9B223521CA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7">
                    <c:v>5.0000000000000001E-4</c:v>
                  </c:pt>
                  <c:pt idx="18">
                    <c:v>1.1000000000000001E-3</c:v>
                  </c:pt>
                  <c:pt idx="19">
                    <c:v>6.9999999999999999E-4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EC-43B4-845F-9B223521CA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-238.5</c:v>
                </c:pt>
                <c:pt idx="1">
                  <c:v>-77</c:v>
                </c:pt>
                <c:pt idx="2">
                  <c:v>-72.5</c:v>
                </c:pt>
                <c:pt idx="3">
                  <c:v>0</c:v>
                </c:pt>
                <c:pt idx="4">
                  <c:v>8</c:v>
                </c:pt>
                <c:pt idx="5">
                  <c:v>141.5</c:v>
                </c:pt>
                <c:pt idx="6">
                  <c:v>237.5</c:v>
                </c:pt>
                <c:pt idx="7">
                  <c:v>244.5</c:v>
                </c:pt>
                <c:pt idx="8">
                  <c:v>854</c:v>
                </c:pt>
                <c:pt idx="9">
                  <c:v>992</c:v>
                </c:pt>
                <c:pt idx="10">
                  <c:v>1292</c:v>
                </c:pt>
                <c:pt idx="11">
                  <c:v>1327</c:v>
                </c:pt>
                <c:pt idx="12">
                  <c:v>1414.5</c:v>
                </c:pt>
                <c:pt idx="13">
                  <c:v>1421</c:v>
                </c:pt>
                <c:pt idx="14">
                  <c:v>1441.5</c:v>
                </c:pt>
                <c:pt idx="15">
                  <c:v>1448</c:v>
                </c:pt>
                <c:pt idx="16">
                  <c:v>1461.5</c:v>
                </c:pt>
                <c:pt idx="17">
                  <c:v>7325</c:v>
                </c:pt>
                <c:pt idx="18">
                  <c:v>7561</c:v>
                </c:pt>
                <c:pt idx="19">
                  <c:v>7892</c:v>
                </c:pt>
                <c:pt idx="20">
                  <c:v>8030.5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5.1378016579154279E-2</c:v>
                </c:pt>
                <c:pt idx="1">
                  <c:v>5.6485385202811711E-2</c:v>
                </c:pt>
                <c:pt idx="2">
                  <c:v>5.6627695783656659E-2</c:v>
                </c:pt>
                <c:pt idx="3">
                  <c:v>5.8920477363936311E-2</c:v>
                </c:pt>
                <c:pt idx="4">
                  <c:v>5.91734739521051E-2</c:v>
                </c:pt>
                <c:pt idx="5">
                  <c:v>6.3395354517171779E-2</c:v>
                </c:pt>
                <c:pt idx="6">
                  <c:v>6.6431313575197243E-2</c:v>
                </c:pt>
                <c:pt idx="7">
                  <c:v>6.665268558984494E-2</c:v>
                </c:pt>
                <c:pt idx="8">
                  <c:v>8.5927863150954575E-2</c:v>
                </c:pt>
                <c:pt idx="9">
                  <c:v>9.0292054296866195E-2</c:v>
                </c:pt>
                <c:pt idx="10">
                  <c:v>9.9779426353195796E-2</c:v>
                </c:pt>
                <c:pt idx="11">
                  <c:v>0.10088628642643425</c:v>
                </c:pt>
                <c:pt idx="12">
                  <c:v>0.10365343660953039</c:v>
                </c:pt>
                <c:pt idx="13">
                  <c:v>0.10385899633741752</c:v>
                </c:pt>
                <c:pt idx="14">
                  <c:v>0.10450730009460005</c:v>
                </c:pt>
                <c:pt idx="15">
                  <c:v>0.10471285982248719</c:v>
                </c:pt>
                <c:pt idx="16">
                  <c:v>0.10513979156502203</c:v>
                </c:pt>
                <c:pt idx="17">
                  <c:v>0.2905704784059841</c:v>
                </c:pt>
                <c:pt idx="18">
                  <c:v>0.29803387775696338</c:v>
                </c:pt>
                <c:pt idx="19">
                  <c:v>0.30850161159244704</c:v>
                </c:pt>
                <c:pt idx="20">
                  <c:v>0.31288161502511919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EC-43B4-845F-9B223521C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83920"/>
        <c:axId val="1"/>
      </c:scatterChart>
      <c:valAx>
        <c:axId val="72138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241640460576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835913312693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83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5836685275022"/>
          <c:y val="0.92419947506561673"/>
          <c:w val="0.67956705102264703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0</xdr:rowOff>
    </xdr:from>
    <xdr:to>
      <xdr:col>18</xdr:col>
      <xdr:colOff>133349</xdr:colOff>
      <xdr:row>18</xdr:row>
      <xdr:rowOff>104775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B6DA42E-108B-91BD-FFD0-DD3FB1C10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201" TargetMode="External"/><Relationship Id="rId1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0.25" x14ac:dyDescent="0.3">
      <c r="A1" s="1" t="s">
        <v>136</v>
      </c>
      <c r="F1">
        <v>31003.573</v>
      </c>
      <c r="G1">
        <v>3.1075400000000002</v>
      </c>
      <c r="H1" t="s">
        <v>37</v>
      </c>
      <c r="I1" t="s">
        <v>38</v>
      </c>
      <c r="U1" s="9"/>
    </row>
    <row r="2" spans="1:21" s="31" customFormat="1" ht="12.95" customHeight="1" x14ac:dyDescent="0.2">
      <c r="A2" s="31" t="s">
        <v>25</v>
      </c>
      <c r="B2" s="10" t="s">
        <v>45</v>
      </c>
      <c r="C2" s="32"/>
      <c r="D2" s="33"/>
      <c r="E2" s="31" t="s">
        <v>38</v>
      </c>
      <c r="U2" s="34"/>
    </row>
    <row r="3" spans="1:21" s="31" customFormat="1" ht="12.95" customHeight="1" thickBot="1" x14ac:dyDescent="0.25">
      <c r="U3" s="34"/>
    </row>
    <row r="4" spans="1:21" s="31" customFormat="1" ht="12.95" customHeight="1" thickTop="1" thickBot="1" x14ac:dyDescent="0.25">
      <c r="A4" s="35" t="s">
        <v>0</v>
      </c>
      <c r="C4" s="36">
        <v>31003.573</v>
      </c>
      <c r="D4" s="37">
        <v>3.1075400000000002</v>
      </c>
      <c r="U4" s="34"/>
    </row>
    <row r="5" spans="1:21" s="31" customFormat="1" ht="12.95" customHeight="1" thickTop="1" x14ac:dyDescent="0.2">
      <c r="A5" s="38" t="s">
        <v>30</v>
      </c>
      <c r="C5" s="39">
        <v>-9.5</v>
      </c>
      <c r="D5" s="31" t="s">
        <v>31</v>
      </c>
      <c r="U5" s="34"/>
    </row>
    <row r="6" spans="1:21" s="31" customFormat="1" ht="12.95" customHeight="1" x14ac:dyDescent="0.2">
      <c r="A6" s="35" t="s">
        <v>1</v>
      </c>
      <c r="U6" s="34"/>
    </row>
    <row r="7" spans="1:21" s="31" customFormat="1" ht="12.95" customHeight="1" x14ac:dyDescent="0.2">
      <c r="A7" s="31" t="s">
        <v>2</v>
      </c>
      <c r="C7" s="31">
        <f>+C4</f>
        <v>31003.573</v>
      </c>
      <c r="U7" s="34"/>
    </row>
    <row r="8" spans="1:21" s="31" customFormat="1" ht="12.95" customHeight="1" x14ac:dyDescent="0.2">
      <c r="A8" s="31" t="s">
        <v>3</v>
      </c>
      <c r="C8" s="31">
        <f>+D4</f>
        <v>3.1075400000000002</v>
      </c>
      <c r="U8" s="34"/>
    </row>
    <row r="9" spans="1:21" s="31" customFormat="1" ht="12.95" customHeight="1" x14ac:dyDescent="0.2">
      <c r="A9" s="40" t="s">
        <v>35</v>
      </c>
      <c r="B9" s="41">
        <v>21</v>
      </c>
      <c r="C9" s="42" t="str">
        <f>"F"&amp;B9</f>
        <v>F21</v>
      </c>
      <c r="D9" s="43" t="str">
        <f>"G"&amp;B9</f>
        <v>G21</v>
      </c>
      <c r="U9" s="34"/>
    </row>
    <row r="10" spans="1:21" s="31" customFormat="1" ht="12.95" customHeight="1" thickBot="1" x14ac:dyDescent="0.25">
      <c r="C10" s="44" t="s">
        <v>21</v>
      </c>
      <c r="D10" s="44" t="s">
        <v>22</v>
      </c>
      <c r="U10" s="34"/>
    </row>
    <row r="11" spans="1:21" s="31" customFormat="1" ht="12.95" customHeight="1" x14ac:dyDescent="0.2">
      <c r="A11" s="31" t="s">
        <v>16</v>
      </c>
      <c r="C11" s="43">
        <f ca="1">INTERCEPT(INDIRECT($D$9):G992,INDIRECT($C$9):F992)</f>
        <v>5.8920477363936311E-2</v>
      </c>
      <c r="D11" s="33"/>
      <c r="U11" s="34"/>
    </row>
    <row r="12" spans="1:21" s="31" customFormat="1" ht="12.95" customHeight="1" x14ac:dyDescent="0.2">
      <c r="A12" s="31" t="s">
        <v>17</v>
      </c>
      <c r="C12" s="43">
        <f ca="1">SLOPE(INDIRECT($D$9):G992,INDIRECT($C$9):F992)</f>
        <v>3.1624573521098676E-5</v>
      </c>
      <c r="D12" s="33"/>
      <c r="U12" s="34"/>
    </row>
    <row r="13" spans="1:21" s="31" customFormat="1" ht="12.95" customHeight="1" x14ac:dyDescent="0.2">
      <c r="A13" s="31" t="s">
        <v>20</v>
      </c>
      <c r="C13" s="33" t="s">
        <v>14</v>
      </c>
      <c r="U13" s="34"/>
    </row>
    <row r="14" spans="1:21" s="31" customFormat="1" ht="12.95" customHeight="1" x14ac:dyDescent="0.2">
      <c r="U14" s="34"/>
    </row>
    <row r="15" spans="1:21" s="31" customFormat="1" ht="12.95" customHeight="1" x14ac:dyDescent="0.2">
      <c r="A15" s="45" t="s">
        <v>18</v>
      </c>
      <c r="C15" s="46">
        <f ca="1">(C7+C11)+(C8+C12)*INT(MAX(F21:F3533))</f>
        <v>55957.432065802743</v>
      </c>
      <c r="E15" s="47" t="s">
        <v>42</v>
      </c>
      <c r="F15" s="39">
        <v>1</v>
      </c>
      <c r="U15" s="34"/>
    </row>
    <row r="16" spans="1:21" s="31" customFormat="1" ht="12.95" customHeight="1" x14ac:dyDescent="0.2">
      <c r="A16" s="35" t="s">
        <v>4</v>
      </c>
      <c r="C16" s="48">
        <f ca="1">+C8+C12</f>
        <v>3.1075716245735214</v>
      </c>
      <c r="E16" s="47" t="s">
        <v>32</v>
      </c>
      <c r="F16" s="49">
        <f ca="1">NOW()+15018.5+$C$5/24</f>
        <v>60368.833327546294</v>
      </c>
      <c r="U16" s="34"/>
    </row>
    <row r="17" spans="1:18" s="31" customFormat="1" ht="12.95" customHeight="1" thickBot="1" x14ac:dyDescent="0.25">
      <c r="A17" s="47" t="s">
        <v>29</v>
      </c>
      <c r="C17" s="31">
        <f>COUNT(C21:C2191)</f>
        <v>21</v>
      </c>
      <c r="E17" s="47" t="s">
        <v>43</v>
      </c>
      <c r="F17" s="49">
        <f ca="1">ROUND(2*(F16-$C$7)/$C$8,0)/2+F15</f>
        <v>9450.5</v>
      </c>
    </row>
    <row r="18" spans="1:18" s="31" customFormat="1" ht="12.95" customHeight="1" thickTop="1" thickBot="1" x14ac:dyDescent="0.25">
      <c r="A18" s="35" t="s">
        <v>5</v>
      </c>
      <c r="C18" s="50">
        <f ca="1">+C15</f>
        <v>55957.432065802743</v>
      </c>
      <c r="D18" s="51">
        <f ca="1">+C16</f>
        <v>3.1075716245735214</v>
      </c>
      <c r="E18" s="47" t="s">
        <v>33</v>
      </c>
      <c r="F18" s="43">
        <f ca="1">ROUND(2*(F16-$C$15)/$C$16,0)/2+F15</f>
        <v>1420.5</v>
      </c>
    </row>
    <row r="19" spans="1:18" s="31" customFormat="1" ht="12.95" customHeight="1" thickTop="1" x14ac:dyDescent="0.2">
      <c r="E19" s="47" t="s">
        <v>34</v>
      </c>
      <c r="F19" s="52">
        <f ca="1">+$C$15+$C$16*F18-15018.5-$C$5/24</f>
        <v>45353.633391842763</v>
      </c>
      <c r="R19" s="31">
        <f ca="1">SUM(R21:R23)</f>
        <v>1.9035495211627097E-2</v>
      </c>
    </row>
    <row r="20" spans="1:18" s="31" customFormat="1" ht="12.95" customHeight="1" thickBot="1" x14ac:dyDescent="0.25">
      <c r="A20" s="44" t="s">
        <v>6</v>
      </c>
      <c r="B20" s="44" t="s">
        <v>7</v>
      </c>
      <c r="C20" s="44" t="s">
        <v>8</v>
      </c>
      <c r="D20" s="44" t="s">
        <v>13</v>
      </c>
      <c r="E20" s="44" t="s">
        <v>9</v>
      </c>
      <c r="F20" s="44" t="s">
        <v>10</v>
      </c>
      <c r="G20" s="44" t="s">
        <v>11</v>
      </c>
      <c r="H20" s="53" t="s">
        <v>36</v>
      </c>
      <c r="I20" s="53" t="s">
        <v>49</v>
      </c>
      <c r="J20" s="53" t="s">
        <v>19</v>
      </c>
      <c r="K20" s="53" t="s">
        <v>137</v>
      </c>
      <c r="L20" s="53" t="s">
        <v>26</v>
      </c>
      <c r="M20" s="53" t="s">
        <v>27</v>
      </c>
      <c r="N20" s="53" t="s">
        <v>28</v>
      </c>
      <c r="O20" s="53" t="s">
        <v>24</v>
      </c>
      <c r="P20" s="54" t="s">
        <v>23</v>
      </c>
      <c r="Q20" s="44" t="s">
        <v>15</v>
      </c>
    </row>
    <row r="21" spans="1:18" s="31" customFormat="1" ht="12.95" customHeight="1" x14ac:dyDescent="0.2">
      <c r="A21" s="55" t="s">
        <v>63</v>
      </c>
      <c r="B21" s="56" t="s">
        <v>135</v>
      </c>
      <c r="C21" s="57">
        <v>30262.602999999999</v>
      </c>
      <c r="D21" s="58"/>
      <c r="E21" s="31">
        <f t="shared" ref="E21:E41" si="0">+(C21-C$7)/C$8</f>
        <v>-238.4426266435834</v>
      </c>
      <c r="F21" s="31">
        <f t="shared" ref="F21:F30" si="1">ROUND(2*E21,0)/2</f>
        <v>-238.5</v>
      </c>
      <c r="G21" s="31">
        <f t="shared" ref="G21:G41" si="2">+C21-(C$7+F21*C$8)</f>
        <v>0.17828999999983353</v>
      </c>
      <c r="K21" s="31">
        <f>+G21</f>
        <v>0.17828999999983353</v>
      </c>
      <c r="O21" s="31">
        <f t="shared" ref="O21:O41" ca="1" si="3">+C$11+C$12*$F21</f>
        <v>5.1378016579154279E-2</v>
      </c>
      <c r="Q21" s="59">
        <f t="shared" ref="Q21:Q41" si="4">+C21-15018.5</f>
        <v>15244.102999999999</v>
      </c>
      <c r="R21" s="31">
        <f t="shared" ref="R21:R41" ca="1" si="5">+(O21-G21)^2</f>
        <v>1.6106651535770764E-2</v>
      </c>
    </row>
    <row r="22" spans="1:18" s="31" customFormat="1" ht="12.95" customHeight="1" x14ac:dyDescent="0.2">
      <c r="A22" s="55" t="s">
        <v>63</v>
      </c>
      <c r="B22" s="56" t="s">
        <v>41</v>
      </c>
      <c r="C22" s="57">
        <v>30764.345000000001</v>
      </c>
      <c r="D22" s="58"/>
      <c r="E22" s="31">
        <f t="shared" si="0"/>
        <v>-76.983079863814837</v>
      </c>
      <c r="F22" s="31">
        <f t="shared" si="1"/>
        <v>-77</v>
      </c>
      <c r="G22" s="31">
        <f t="shared" si="2"/>
        <v>5.2579999999579741E-2</v>
      </c>
      <c r="K22" s="31">
        <f>+G22</f>
        <v>5.2579999999579741E-2</v>
      </c>
      <c r="O22" s="31">
        <f t="shared" ca="1" si="3"/>
        <v>5.6485385202811711E-2</v>
      </c>
      <c r="Q22" s="59">
        <f t="shared" si="4"/>
        <v>15745.845000000001</v>
      </c>
      <c r="R22" s="31">
        <f t="shared" ca="1" si="5"/>
        <v>1.5252033585623217E-5</v>
      </c>
    </row>
    <row r="23" spans="1:18" s="31" customFormat="1" ht="12.95" customHeight="1" x14ac:dyDescent="0.2">
      <c r="A23" s="55" t="s">
        <v>63</v>
      </c>
      <c r="B23" s="56" t="s">
        <v>135</v>
      </c>
      <c r="C23" s="57">
        <v>30778.278999999999</v>
      </c>
      <c r="D23" s="58"/>
      <c r="E23" s="31">
        <f t="shared" si="0"/>
        <v>-72.49914723543435</v>
      </c>
      <c r="F23" s="31">
        <f t="shared" si="1"/>
        <v>-72.5</v>
      </c>
      <c r="G23" s="31">
        <f t="shared" si="2"/>
        <v>2.6499999985389877E-3</v>
      </c>
      <c r="K23" s="31">
        <f>+G23</f>
        <v>2.6499999985389877E-3</v>
      </c>
      <c r="O23" s="31">
        <f t="shared" ca="1" si="3"/>
        <v>5.6627695783656659E-2</v>
      </c>
      <c r="Q23" s="59">
        <f t="shared" si="4"/>
        <v>15759.778999999999</v>
      </c>
      <c r="R23" s="31">
        <f t="shared" ca="1" si="5"/>
        <v>2.9135916422707102E-3</v>
      </c>
    </row>
    <row r="24" spans="1:18" s="31" customFormat="1" ht="12.95" customHeight="1" x14ac:dyDescent="0.2">
      <c r="A24" s="31" t="s">
        <v>12</v>
      </c>
      <c r="C24" s="58">
        <v>31003.573</v>
      </c>
      <c r="D24" s="58" t="s">
        <v>14</v>
      </c>
      <c r="E24" s="31">
        <f t="shared" si="0"/>
        <v>0</v>
      </c>
      <c r="F24" s="31">
        <f t="shared" si="1"/>
        <v>0</v>
      </c>
      <c r="G24" s="31">
        <f t="shared" si="2"/>
        <v>0</v>
      </c>
      <c r="H24" s="31">
        <f>+G24</f>
        <v>0</v>
      </c>
      <c r="O24" s="31">
        <f t="shared" ca="1" si="3"/>
        <v>5.8920477363936311E-2</v>
      </c>
      <c r="Q24" s="59">
        <f t="shared" si="4"/>
        <v>15985.073</v>
      </c>
      <c r="R24" s="31">
        <f t="shared" ca="1" si="5"/>
        <v>3.471622652794131E-3</v>
      </c>
    </row>
    <row r="25" spans="1:18" s="31" customFormat="1" ht="12.95" customHeight="1" x14ac:dyDescent="0.2">
      <c r="A25" s="55" t="s">
        <v>63</v>
      </c>
      <c r="B25" s="56" t="s">
        <v>41</v>
      </c>
      <c r="C25" s="57">
        <v>31028.579000000002</v>
      </c>
      <c r="D25" s="58"/>
      <c r="E25" s="31">
        <f t="shared" si="0"/>
        <v>8.0468795252840586</v>
      </c>
      <c r="F25" s="31">
        <f t="shared" si="1"/>
        <v>8</v>
      </c>
      <c r="G25" s="31">
        <f t="shared" si="2"/>
        <v>0.14568000000144821</v>
      </c>
      <c r="K25" s="31">
        <f t="shared" ref="K25:K37" si="6">+G25</f>
        <v>0.14568000000144821</v>
      </c>
      <c r="O25" s="31">
        <f t="shared" ca="1" si="3"/>
        <v>5.91734739521051E-2</v>
      </c>
      <c r="Q25" s="59">
        <f t="shared" si="4"/>
        <v>16010.079000000002</v>
      </c>
      <c r="R25" s="31">
        <f t="shared" ca="1" si="5"/>
        <v>7.4833790491256784E-3</v>
      </c>
    </row>
    <row r="26" spans="1:18" s="31" customFormat="1" ht="12.95" customHeight="1" x14ac:dyDescent="0.2">
      <c r="A26" s="55" t="s">
        <v>63</v>
      </c>
      <c r="B26" s="56" t="s">
        <v>135</v>
      </c>
      <c r="C26" s="57">
        <v>31443.444</v>
      </c>
      <c r="D26" s="58"/>
      <c r="E26" s="31">
        <f t="shared" si="0"/>
        <v>141.54958584603872</v>
      </c>
      <c r="F26" s="31">
        <f t="shared" si="1"/>
        <v>141.5</v>
      </c>
      <c r="G26" s="31">
        <f t="shared" si="2"/>
        <v>0.15408999999999651</v>
      </c>
      <c r="K26" s="31">
        <f t="shared" si="6"/>
        <v>0.15408999999999651</v>
      </c>
      <c r="O26" s="31">
        <f t="shared" ca="1" si="3"/>
        <v>6.3395354517171779E-2</v>
      </c>
      <c r="Q26" s="59">
        <f t="shared" si="4"/>
        <v>16424.944</v>
      </c>
      <c r="R26" s="31">
        <f t="shared" ca="1" si="5"/>
        <v>8.2255187192552606E-3</v>
      </c>
    </row>
    <row r="27" spans="1:18" s="31" customFormat="1" ht="12.95" customHeight="1" x14ac:dyDescent="0.2">
      <c r="A27" s="55" t="s">
        <v>63</v>
      </c>
      <c r="B27" s="56" t="s">
        <v>135</v>
      </c>
      <c r="C27" s="57">
        <v>31741.605</v>
      </c>
      <c r="D27" s="58"/>
      <c r="E27" s="31">
        <f t="shared" si="0"/>
        <v>237.49718426794158</v>
      </c>
      <c r="F27" s="31">
        <f t="shared" si="1"/>
        <v>237.5</v>
      </c>
      <c r="G27" s="31">
        <f t="shared" si="2"/>
        <v>-8.7500000008731149E-3</v>
      </c>
      <c r="K27" s="31">
        <f t="shared" si="6"/>
        <v>-8.7500000008731149E-3</v>
      </c>
      <c r="O27" s="31">
        <f t="shared" ca="1" si="3"/>
        <v>6.6431313575197243E-2</v>
      </c>
      <c r="Q27" s="59">
        <f t="shared" si="4"/>
        <v>16723.105</v>
      </c>
      <c r="R27" s="31">
        <f t="shared" ca="1" si="5"/>
        <v>5.6522299110234207E-3</v>
      </c>
    </row>
    <row r="28" spans="1:18" s="31" customFormat="1" ht="12.95" customHeight="1" x14ac:dyDescent="0.2">
      <c r="A28" s="55" t="s">
        <v>63</v>
      </c>
      <c r="B28" s="56" t="s">
        <v>135</v>
      </c>
      <c r="C28" s="57">
        <v>31763.467000000001</v>
      </c>
      <c r="D28" s="58"/>
      <c r="E28" s="31">
        <f t="shared" si="0"/>
        <v>244.53233103998667</v>
      </c>
      <c r="F28" s="31">
        <f t="shared" si="1"/>
        <v>244.5</v>
      </c>
      <c r="G28" s="31">
        <f t="shared" si="2"/>
        <v>0.10047000000122353</v>
      </c>
      <c r="K28" s="31">
        <f t="shared" si="6"/>
        <v>0.10047000000122353</v>
      </c>
      <c r="O28" s="31">
        <f t="shared" ca="1" si="3"/>
        <v>6.665268558984494E-2</v>
      </c>
      <c r="Q28" s="59">
        <f t="shared" si="4"/>
        <v>16744.967000000001</v>
      </c>
      <c r="R28" s="31">
        <f t="shared" ca="1" si="5"/>
        <v>1.1436107539980337E-3</v>
      </c>
    </row>
    <row r="29" spans="1:18" s="31" customFormat="1" ht="12.95" customHeight="1" x14ac:dyDescent="0.2">
      <c r="A29" s="55" t="s">
        <v>63</v>
      </c>
      <c r="B29" s="56" t="s">
        <v>41</v>
      </c>
      <c r="C29" s="57">
        <v>33657.343999999997</v>
      </c>
      <c r="D29" s="58"/>
      <c r="E29" s="31">
        <f t="shared" si="0"/>
        <v>853.97806625176088</v>
      </c>
      <c r="F29" s="31">
        <f t="shared" si="1"/>
        <v>854</v>
      </c>
      <c r="G29" s="31">
        <f t="shared" si="2"/>
        <v>-6.8160000002535526E-2</v>
      </c>
      <c r="K29" s="31">
        <f t="shared" si="6"/>
        <v>-6.8160000002535526E-2</v>
      </c>
      <c r="O29" s="31">
        <f t="shared" ca="1" si="3"/>
        <v>8.5927863150954575E-2</v>
      </c>
      <c r="Q29" s="59">
        <f t="shared" si="4"/>
        <v>18638.843999999997</v>
      </c>
      <c r="R29" s="31">
        <f t="shared" ca="1" si="5"/>
        <v>2.3743069571208694E-2</v>
      </c>
    </row>
    <row r="30" spans="1:18" s="31" customFormat="1" ht="12.95" customHeight="1" x14ac:dyDescent="0.2">
      <c r="A30" s="55" t="s">
        <v>63</v>
      </c>
      <c r="B30" s="56" t="s">
        <v>41</v>
      </c>
      <c r="C30" s="57">
        <v>34086.341999999997</v>
      </c>
      <c r="D30" s="58"/>
      <c r="E30" s="31">
        <f t="shared" si="0"/>
        <v>992.02874299284849</v>
      </c>
      <c r="F30" s="31">
        <f t="shared" si="1"/>
        <v>992</v>
      </c>
      <c r="G30" s="31">
        <f t="shared" si="2"/>
        <v>8.931999999913387E-2</v>
      </c>
      <c r="K30" s="31">
        <f t="shared" si="6"/>
        <v>8.931999999913387E-2</v>
      </c>
      <c r="O30" s="31">
        <f t="shared" ca="1" si="3"/>
        <v>9.0292054296866195E-2</v>
      </c>
      <c r="Q30" s="59">
        <f t="shared" si="4"/>
        <v>19067.841999999997</v>
      </c>
      <c r="R30" s="31">
        <f t="shared" ca="1" si="5"/>
        <v>9.4488955773988335E-7</v>
      </c>
    </row>
    <row r="31" spans="1:18" s="31" customFormat="1" ht="12.95" customHeight="1" x14ac:dyDescent="0.2">
      <c r="A31" s="55" t="s">
        <v>63</v>
      </c>
      <c r="B31" s="56" t="s">
        <v>41</v>
      </c>
      <c r="C31" s="57">
        <v>35018.514000000003</v>
      </c>
      <c r="D31" s="58"/>
      <c r="E31" s="31">
        <f t="shared" si="0"/>
        <v>1291.9997811773951</v>
      </c>
      <c r="F31" s="31">
        <f t="shared" ref="F31:F41" si="7">ROUND(2*E31,0)/2</f>
        <v>1292</v>
      </c>
      <c r="G31" s="31">
        <f t="shared" si="2"/>
        <v>-6.7999999737367034E-4</v>
      </c>
      <c r="K31" s="31">
        <f t="shared" si="6"/>
        <v>-6.7999999737367034E-4</v>
      </c>
      <c r="O31" s="31">
        <f t="shared" ca="1" si="3"/>
        <v>9.9779426353195796E-2</v>
      </c>
      <c r="Q31" s="59">
        <f t="shared" si="4"/>
        <v>20000.014000000003</v>
      </c>
      <c r="R31" s="31">
        <f t="shared" ca="1" si="5"/>
        <v>1.0092096342685491E-2</v>
      </c>
    </row>
    <row r="32" spans="1:18" s="31" customFormat="1" ht="12.95" customHeight="1" x14ac:dyDescent="0.2">
      <c r="A32" s="55" t="s">
        <v>63</v>
      </c>
      <c r="B32" s="56" t="s">
        <v>41</v>
      </c>
      <c r="C32" s="57">
        <v>35127.410000000003</v>
      </c>
      <c r="D32" s="58"/>
      <c r="E32" s="31">
        <f t="shared" si="0"/>
        <v>1327.0422906865247</v>
      </c>
      <c r="F32" s="31">
        <f t="shared" si="7"/>
        <v>1327</v>
      </c>
      <c r="G32" s="31">
        <f t="shared" si="2"/>
        <v>0.13142000000516418</v>
      </c>
      <c r="K32" s="31">
        <f t="shared" si="6"/>
        <v>0.13142000000516418</v>
      </c>
      <c r="O32" s="31">
        <f t="shared" ca="1" si="3"/>
        <v>0.10088628642643425</v>
      </c>
      <c r="Q32" s="59">
        <f t="shared" si="4"/>
        <v>20108.910000000003</v>
      </c>
      <c r="R32" s="31">
        <f t="shared" ca="1" si="5"/>
        <v>9.3230766490791644E-4</v>
      </c>
    </row>
    <row r="33" spans="1:18" x14ac:dyDescent="0.2">
      <c r="A33" s="28" t="s">
        <v>63</v>
      </c>
      <c r="B33" s="30" t="s">
        <v>135</v>
      </c>
      <c r="C33" s="29">
        <v>35399.476000000002</v>
      </c>
      <c r="D33" s="4"/>
      <c r="E33">
        <f t="shared" si="0"/>
        <v>1414.5925716161341</v>
      </c>
      <c r="F33">
        <f t="shared" si="7"/>
        <v>1414.5</v>
      </c>
      <c r="G33">
        <f t="shared" si="2"/>
        <v>0.28766999999788823</v>
      </c>
      <c r="K33">
        <f t="shared" si="6"/>
        <v>0.28766999999788823</v>
      </c>
      <c r="O33">
        <f t="shared" ca="1" si="3"/>
        <v>0.10365343660953039</v>
      </c>
      <c r="Q33" s="2">
        <f t="shared" si="4"/>
        <v>20380.976000000002</v>
      </c>
      <c r="R33">
        <f t="shared" ca="1" si="5"/>
        <v>3.3862095601261522E-2</v>
      </c>
    </row>
    <row r="34" spans="1:18" x14ac:dyDescent="0.2">
      <c r="A34" s="28" t="s">
        <v>63</v>
      </c>
      <c r="B34" s="30" t="s">
        <v>41</v>
      </c>
      <c r="C34" s="29">
        <v>35419.413</v>
      </c>
      <c r="D34" s="4"/>
      <c r="E34">
        <f t="shared" si="0"/>
        <v>1421.0082573353843</v>
      </c>
      <c r="F34">
        <f t="shared" si="7"/>
        <v>1421</v>
      </c>
      <c r="G34">
        <f t="shared" si="2"/>
        <v>2.5659999999334104E-2</v>
      </c>
      <c r="K34">
        <f t="shared" si="6"/>
        <v>2.5659999999334104E-2</v>
      </c>
      <c r="O34">
        <f t="shared" ca="1" si="3"/>
        <v>0.10385899633741752</v>
      </c>
      <c r="Q34" s="2">
        <f t="shared" si="4"/>
        <v>20400.913</v>
      </c>
      <c r="R34">
        <f t="shared" ca="1" si="5"/>
        <v>6.1150830282835833E-3</v>
      </c>
    </row>
    <row r="35" spans="1:18" x14ac:dyDescent="0.2">
      <c r="A35" s="28" t="s">
        <v>63</v>
      </c>
      <c r="B35" s="30" t="s">
        <v>135</v>
      </c>
      <c r="C35" s="29">
        <v>35483.285000000003</v>
      </c>
      <c r="D35" s="4"/>
      <c r="E35">
        <f t="shared" si="0"/>
        <v>1441.5621359660706</v>
      </c>
      <c r="F35">
        <f t="shared" si="7"/>
        <v>1441.5</v>
      </c>
      <c r="G35">
        <f t="shared" si="2"/>
        <v>0.1930900000006659</v>
      </c>
      <c r="K35">
        <f t="shared" si="6"/>
        <v>0.1930900000006659</v>
      </c>
      <c r="O35">
        <f t="shared" ca="1" si="3"/>
        <v>0.10450730009460005</v>
      </c>
      <c r="Q35" s="2">
        <f t="shared" si="4"/>
        <v>20464.785000000003</v>
      </c>
      <c r="R35">
        <f t="shared" ca="1" si="5"/>
        <v>7.8468947226481185E-3</v>
      </c>
    </row>
    <row r="36" spans="1:18" x14ac:dyDescent="0.2">
      <c r="A36" s="28" t="s">
        <v>63</v>
      </c>
      <c r="B36" s="30" t="s">
        <v>41</v>
      </c>
      <c r="C36" s="29">
        <v>35503.309000000001</v>
      </c>
      <c r="D36" s="4"/>
      <c r="E36">
        <f t="shared" si="0"/>
        <v>1448.0058181069271</v>
      </c>
      <c r="F36">
        <f t="shared" si="7"/>
        <v>1448</v>
      </c>
      <c r="G36">
        <f t="shared" si="2"/>
        <v>1.8080000001646113E-2</v>
      </c>
      <c r="K36">
        <f t="shared" si="6"/>
        <v>1.8080000001646113E-2</v>
      </c>
      <c r="O36">
        <f t="shared" ca="1" si="3"/>
        <v>0.10471285982248719</v>
      </c>
      <c r="Q36" s="2">
        <f t="shared" si="4"/>
        <v>20484.809000000001</v>
      </c>
      <c r="R36">
        <f t="shared" ca="1" si="5"/>
        <v>7.5052524007375009E-3</v>
      </c>
    </row>
    <row r="37" spans="1:18" x14ac:dyDescent="0.2">
      <c r="A37" s="28" t="s">
        <v>63</v>
      </c>
      <c r="B37" s="30" t="s">
        <v>135</v>
      </c>
      <c r="C37" s="29">
        <v>35545.300999999999</v>
      </c>
      <c r="D37" s="4"/>
      <c r="E37">
        <f t="shared" si="0"/>
        <v>1461.5187576024762</v>
      </c>
      <c r="F37">
        <f t="shared" si="7"/>
        <v>1461.5</v>
      </c>
      <c r="G37">
        <f t="shared" si="2"/>
        <v>5.829000000085216E-2</v>
      </c>
      <c r="K37">
        <f t="shared" si="6"/>
        <v>5.829000000085216E-2</v>
      </c>
      <c r="O37">
        <f t="shared" ca="1" si="3"/>
        <v>0.10513979156502203</v>
      </c>
      <c r="Q37" s="2">
        <f t="shared" si="4"/>
        <v>20526.800999999999</v>
      </c>
      <c r="R37">
        <f t="shared" ca="1" si="5"/>
        <v>2.1949029696061617E-3</v>
      </c>
    </row>
    <row r="38" spans="1:18" x14ac:dyDescent="0.2">
      <c r="A38" s="7" t="s">
        <v>39</v>
      </c>
      <c r="B38" s="6"/>
      <c r="C38" s="7">
        <v>53766.279600000002</v>
      </c>
      <c r="D38" s="7">
        <v>5.0000000000000001E-4</v>
      </c>
      <c r="E38">
        <f t="shared" si="0"/>
        <v>7324.9923090290067</v>
      </c>
      <c r="F38">
        <f t="shared" si="7"/>
        <v>7325</v>
      </c>
      <c r="G38">
        <f t="shared" si="2"/>
        <v>-2.3900000000139698E-2</v>
      </c>
      <c r="I38">
        <f>+G38</f>
        <v>-2.3900000000139698E-2</v>
      </c>
      <c r="O38">
        <f t="shared" ca="1" si="3"/>
        <v>0.2905704784059841</v>
      </c>
      <c r="Q38" s="2">
        <f t="shared" si="4"/>
        <v>38747.779600000002</v>
      </c>
      <c r="R38">
        <f t="shared" ca="1" si="5"/>
        <v>9.8891681788976379E-2</v>
      </c>
    </row>
    <row r="39" spans="1:18" x14ac:dyDescent="0.2">
      <c r="A39" s="11" t="s">
        <v>40</v>
      </c>
      <c r="B39" s="12" t="s">
        <v>41</v>
      </c>
      <c r="C39" s="11">
        <v>54500.340799999998</v>
      </c>
      <c r="D39" s="11">
        <v>1.1000000000000001E-3</v>
      </c>
      <c r="E39">
        <f t="shared" si="0"/>
        <v>7561.2116979990587</v>
      </c>
      <c r="F39">
        <f t="shared" si="7"/>
        <v>7561</v>
      </c>
      <c r="G39">
        <f t="shared" si="2"/>
        <v>0.65785999999934575</v>
      </c>
      <c r="I39">
        <f>+G39</f>
        <v>0.65785999999934575</v>
      </c>
      <c r="O39">
        <f t="shared" ca="1" si="3"/>
        <v>0.29803387775696338</v>
      </c>
      <c r="Q39" s="2">
        <f t="shared" si="4"/>
        <v>39481.840799999998</v>
      </c>
      <c r="R39">
        <f t="shared" ca="1" si="5"/>
        <v>0.12947483824798989</v>
      </c>
    </row>
    <row r="40" spans="1:18" x14ac:dyDescent="0.2">
      <c r="A40" s="13" t="s">
        <v>44</v>
      </c>
      <c r="B40" s="12" t="s">
        <v>41</v>
      </c>
      <c r="C40" s="11">
        <v>55528.857600000003</v>
      </c>
      <c r="D40" s="11">
        <v>6.9999999999999999E-4</v>
      </c>
      <c r="E40">
        <f t="shared" si="0"/>
        <v>7892.1862952689271</v>
      </c>
      <c r="F40">
        <f t="shared" si="7"/>
        <v>7892</v>
      </c>
      <c r="G40">
        <f t="shared" si="2"/>
        <v>0.57891999999992549</v>
      </c>
      <c r="I40">
        <f>+G40</f>
        <v>0.57891999999992549</v>
      </c>
      <c r="O40">
        <f t="shared" ca="1" si="3"/>
        <v>0.30850161159244704</v>
      </c>
      <c r="Q40" s="2">
        <f t="shared" si="4"/>
        <v>40510.357600000003</v>
      </c>
      <c r="R40">
        <f t="shared" ca="1" si="5"/>
        <v>7.3126104788897875E-2</v>
      </c>
    </row>
    <row r="41" spans="1:18" x14ac:dyDescent="0.2">
      <c r="A41" s="8" t="s">
        <v>46</v>
      </c>
      <c r="B41" s="14" t="s">
        <v>41</v>
      </c>
      <c r="C41" s="8">
        <v>55958.688199999997</v>
      </c>
      <c r="D41" s="8">
        <v>8.0000000000000004E-4</v>
      </c>
      <c r="E41">
        <f t="shared" si="0"/>
        <v>8030.504900982769</v>
      </c>
      <c r="F41">
        <f t="shared" si="7"/>
        <v>8030.5</v>
      </c>
      <c r="G41">
        <f t="shared" si="2"/>
        <v>1.5229999997245613E-2</v>
      </c>
      <c r="I41">
        <f>+G41</f>
        <v>1.5229999997245613E-2</v>
      </c>
      <c r="O41">
        <f t="shared" ca="1" si="3"/>
        <v>0.31288161502511919</v>
      </c>
      <c r="Q41" s="2">
        <f t="shared" si="4"/>
        <v>40940.188199999997</v>
      </c>
      <c r="R41">
        <f t="shared" ca="1" si="5"/>
        <v>8.8596483928701453E-2</v>
      </c>
    </row>
    <row r="42" spans="1:18" x14ac:dyDescent="0.2">
      <c r="B42" s="3"/>
      <c r="C42" s="4"/>
      <c r="D42" s="4"/>
    </row>
    <row r="43" spans="1:18" x14ac:dyDescent="0.2">
      <c r="C43" s="4"/>
      <c r="D43" s="4"/>
    </row>
    <row r="44" spans="1:18" x14ac:dyDescent="0.2">
      <c r="C44" s="4"/>
      <c r="D44" s="4"/>
    </row>
    <row r="45" spans="1:18" x14ac:dyDescent="0.2">
      <c r="C45" s="4"/>
      <c r="D45" s="4"/>
    </row>
    <row r="46" spans="1:18" x14ac:dyDescent="0.2">
      <c r="C46" s="4"/>
      <c r="D46" s="4"/>
    </row>
    <row r="47" spans="1:18" x14ac:dyDescent="0.2">
      <c r="C47" s="4"/>
      <c r="D47" s="4"/>
    </row>
    <row r="48" spans="1:18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1"/>
  <sheetViews>
    <sheetView topLeftCell="A8" workbookViewId="0">
      <selection activeCell="A16" sqref="A16:C31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5" t="s">
        <v>47</v>
      </c>
      <c r="I1" s="16" t="s">
        <v>48</v>
      </c>
      <c r="J1" s="17" t="s">
        <v>49</v>
      </c>
    </row>
    <row r="2" spans="1:16" x14ac:dyDescent="0.2">
      <c r="I2" s="18" t="s">
        <v>50</v>
      </c>
      <c r="J2" s="19" t="s">
        <v>51</v>
      </c>
    </row>
    <row r="3" spans="1:16" x14ac:dyDescent="0.2">
      <c r="A3" s="20" t="s">
        <v>52</v>
      </c>
      <c r="I3" s="18" t="s">
        <v>53</v>
      </c>
      <c r="J3" s="19" t="s">
        <v>54</v>
      </c>
    </row>
    <row r="4" spans="1:16" x14ac:dyDescent="0.2">
      <c r="I4" s="18" t="s">
        <v>55</v>
      </c>
      <c r="J4" s="19" t="s">
        <v>54</v>
      </c>
    </row>
    <row r="5" spans="1:16" ht="13.5" thickBot="1" x14ac:dyDescent="0.25">
      <c r="I5" s="21" t="s">
        <v>56</v>
      </c>
      <c r="J5" s="22" t="s">
        <v>57</v>
      </c>
    </row>
    <row r="10" spans="1:16" ht="13.5" thickBot="1" x14ac:dyDescent="0.25"/>
    <row r="11" spans="1:16" ht="12.75" customHeight="1" thickBot="1" x14ac:dyDescent="0.25">
      <c r="A11" s="4" t="str">
        <f t="shared" ref="A11:A31" si="0">P11</f>
        <v> VSS 4.260 </v>
      </c>
      <c r="B11" s="3" t="str">
        <f t="shared" ref="B11:B31" si="1">IF(H11=INT(H11),"I","II")</f>
        <v>I</v>
      </c>
      <c r="C11" s="4">
        <f t="shared" ref="C11:C31" si="2">1*G11</f>
        <v>31003.573</v>
      </c>
      <c r="D11" s="5" t="str">
        <f t="shared" ref="D11:D31" si="3">VLOOKUP(F11,I$1:J$5,2,FALSE)</f>
        <v>vis</v>
      </c>
      <c r="E11" s="23">
        <f>VLOOKUP(C11,Active!C$21:E$973,3,FALSE)</f>
        <v>0</v>
      </c>
      <c r="F11" s="3" t="s">
        <v>56</v>
      </c>
      <c r="G11" s="5" t="str">
        <f t="shared" ref="G11:G31" si="4">MID(I11,3,LEN(I11)-3)</f>
        <v>31003.573</v>
      </c>
      <c r="H11" s="4">
        <f t="shared" ref="H11:H31" si="5">1*K11</f>
        <v>0</v>
      </c>
      <c r="I11" s="24" t="s">
        <v>70</v>
      </c>
      <c r="J11" s="25" t="s">
        <v>71</v>
      </c>
      <c r="K11" s="24">
        <v>0</v>
      </c>
      <c r="L11" s="24" t="s">
        <v>72</v>
      </c>
      <c r="M11" s="25" t="s">
        <v>61</v>
      </c>
      <c r="N11" s="25"/>
      <c r="O11" s="26" t="s">
        <v>62</v>
      </c>
      <c r="P11" s="26" t="s">
        <v>63</v>
      </c>
    </row>
    <row r="12" spans="1:16" ht="12.75" customHeight="1" thickBot="1" x14ac:dyDescent="0.25">
      <c r="A12" s="4" t="str">
        <f t="shared" si="0"/>
        <v>BAVM 178 </v>
      </c>
      <c r="B12" s="3" t="str">
        <f t="shared" si="1"/>
        <v>I</v>
      </c>
      <c r="C12" s="4">
        <f t="shared" si="2"/>
        <v>53766.279600000002</v>
      </c>
      <c r="D12" s="5" t="str">
        <f t="shared" si="3"/>
        <v>vis</v>
      </c>
      <c r="E12" s="23">
        <f>VLOOKUP(C12,Active!C$21:E$973,3,FALSE)</f>
        <v>7324.9923090290067</v>
      </c>
      <c r="F12" s="3" t="s">
        <v>56</v>
      </c>
      <c r="G12" s="5" t="str">
        <f t="shared" si="4"/>
        <v>53766.2796</v>
      </c>
      <c r="H12" s="4">
        <f t="shared" si="5"/>
        <v>7325</v>
      </c>
      <c r="I12" s="24" t="s">
        <v>112</v>
      </c>
      <c r="J12" s="25" t="s">
        <v>113</v>
      </c>
      <c r="K12" s="24">
        <v>7325</v>
      </c>
      <c r="L12" s="24" t="s">
        <v>114</v>
      </c>
      <c r="M12" s="25" t="s">
        <v>115</v>
      </c>
      <c r="N12" s="25" t="s">
        <v>116</v>
      </c>
      <c r="O12" s="26" t="s">
        <v>117</v>
      </c>
      <c r="P12" s="27" t="s">
        <v>118</v>
      </c>
    </row>
    <row r="13" spans="1:16" ht="12.75" customHeight="1" thickBot="1" x14ac:dyDescent="0.25">
      <c r="A13" s="4" t="str">
        <f t="shared" si="0"/>
        <v>BAVM 201 </v>
      </c>
      <c r="B13" s="3" t="str">
        <f t="shared" si="1"/>
        <v>I</v>
      </c>
      <c r="C13" s="4">
        <f t="shared" si="2"/>
        <v>54500.340799999998</v>
      </c>
      <c r="D13" s="5" t="str">
        <f t="shared" si="3"/>
        <v>vis</v>
      </c>
      <c r="E13" s="23">
        <f>VLOOKUP(C13,Active!C$21:E$973,3,FALSE)</f>
        <v>7561.2116979990587</v>
      </c>
      <c r="F13" s="3" t="s">
        <v>56</v>
      </c>
      <c r="G13" s="5" t="str">
        <f t="shared" si="4"/>
        <v>54500.3408</v>
      </c>
      <c r="H13" s="4">
        <f t="shared" si="5"/>
        <v>7561</v>
      </c>
      <c r="I13" s="24" t="s">
        <v>119</v>
      </c>
      <c r="J13" s="25" t="s">
        <v>120</v>
      </c>
      <c r="K13" s="24" t="s">
        <v>121</v>
      </c>
      <c r="L13" s="24" t="s">
        <v>122</v>
      </c>
      <c r="M13" s="25" t="s">
        <v>115</v>
      </c>
      <c r="N13" s="25" t="s">
        <v>116</v>
      </c>
      <c r="O13" s="26" t="s">
        <v>117</v>
      </c>
      <c r="P13" s="27" t="s">
        <v>123</v>
      </c>
    </row>
    <row r="14" spans="1:16" ht="12.75" customHeight="1" thickBot="1" x14ac:dyDescent="0.25">
      <c r="A14" s="4" t="str">
        <f t="shared" si="0"/>
        <v>IBVS 5960 </v>
      </c>
      <c r="B14" s="3" t="str">
        <f t="shared" si="1"/>
        <v>I</v>
      </c>
      <c r="C14" s="4">
        <f t="shared" si="2"/>
        <v>55528.857600000003</v>
      </c>
      <c r="D14" s="5" t="str">
        <f t="shared" si="3"/>
        <v>vis</v>
      </c>
      <c r="E14" s="23">
        <f>VLOOKUP(C14,Active!C$21:E$973,3,FALSE)</f>
        <v>7892.1862952689271</v>
      </c>
      <c r="F14" s="3" t="s">
        <v>56</v>
      </c>
      <c r="G14" s="5" t="str">
        <f t="shared" si="4"/>
        <v>55528.8576</v>
      </c>
      <c r="H14" s="4">
        <f t="shared" si="5"/>
        <v>7892</v>
      </c>
      <c r="I14" s="24" t="s">
        <v>124</v>
      </c>
      <c r="J14" s="25" t="s">
        <v>125</v>
      </c>
      <c r="K14" s="24" t="s">
        <v>126</v>
      </c>
      <c r="L14" s="24" t="s">
        <v>127</v>
      </c>
      <c r="M14" s="25" t="s">
        <v>115</v>
      </c>
      <c r="N14" s="25" t="s">
        <v>56</v>
      </c>
      <c r="O14" s="26" t="s">
        <v>128</v>
      </c>
      <c r="P14" s="27" t="s">
        <v>129</v>
      </c>
    </row>
    <row r="15" spans="1:16" ht="12.75" customHeight="1" thickBot="1" x14ac:dyDescent="0.25">
      <c r="A15" s="4" t="str">
        <f t="shared" si="0"/>
        <v>IBVS 6029 </v>
      </c>
      <c r="B15" s="3" t="str">
        <f t="shared" si="1"/>
        <v>II</v>
      </c>
      <c r="C15" s="4">
        <f t="shared" si="2"/>
        <v>55958.688199999997</v>
      </c>
      <c r="D15" s="5" t="str">
        <f t="shared" si="3"/>
        <v>vis</v>
      </c>
      <c r="E15" s="23">
        <f>VLOOKUP(C15,Active!C$21:E$973,3,FALSE)</f>
        <v>8030.504900982769</v>
      </c>
      <c r="F15" s="3" t="s">
        <v>56</v>
      </c>
      <c r="G15" s="5" t="str">
        <f t="shared" si="4"/>
        <v>55958.6882</v>
      </c>
      <c r="H15" s="4">
        <f t="shared" si="5"/>
        <v>8030.5</v>
      </c>
      <c r="I15" s="24" t="s">
        <v>130</v>
      </c>
      <c r="J15" s="25" t="s">
        <v>131</v>
      </c>
      <c r="K15" s="24" t="s">
        <v>132</v>
      </c>
      <c r="L15" s="24" t="s">
        <v>133</v>
      </c>
      <c r="M15" s="25" t="s">
        <v>115</v>
      </c>
      <c r="N15" s="25" t="s">
        <v>56</v>
      </c>
      <c r="O15" s="26" t="s">
        <v>128</v>
      </c>
      <c r="P15" s="27" t="s">
        <v>134</v>
      </c>
    </row>
    <row r="16" spans="1:16" ht="12.75" customHeight="1" thickBot="1" x14ac:dyDescent="0.25">
      <c r="A16" s="4" t="str">
        <f t="shared" si="0"/>
        <v> VSS 4.260 </v>
      </c>
      <c r="B16" s="3" t="str">
        <f t="shared" si="1"/>
        <v>II</v>
      </c>
      <c r="C16" s="4">
        <f t="shared" si="2"/>
        <v>30262.602999999999</v>
      </c>
      <c r="D16" s="5" t="str">
        <f t="shared" si="3"/>
        <v>vis</v>
      </c>
      <c r="E16" s="23">
        <f>VLOOKUP(C16,Active!C$21:E$973,3,FALSE)</f>
        <v>-238.4426266435834</v>
      </c>
      <c r="F16" s="3" t="s">
        <v>56</v>
      </c>
      <c r="G16" s="5" t="str">
        <f t="shared" si="4"/>
        <v>30262.603</v>
      </c>
      <c r="H16" s="4">
        <f t="shared" si="5"/>
        <v>-238.5</v>
      </c>
      <c r="I16" s="24" t="s">
        <v>58</v>
      </c>
      <c r="J16" s="25" t="s">
        <v>59</v>
      </c>
      <c r="K16" s="24">
        <v>-238.5</v>
      </c>
      <c r="L16" s="24" t="s">
        <v>60</v>
      </c>
      <c r="M16" s="25" t="s">
        <v>61</v>
      </c>
      <c r="N16" s="25"/>
      <c r="O16" s="26" t="s">
        <v>62</v>
      </c>
      <c r="P16" s="26" t="s">
        <v>63</v>
      </c>
    </row>
    <row r="17" spans="1:16" ht="12.75" customHeight="1" thickBot="1" x14ac:dyDescent="0.25">
      <c r="A17" s="4" t="str">
        <f t="shared" si="0"/>
        <v> VSS 4.260 </v>
      </c>
      <c r="B17" s="3" t="str">
        <f t="shared" si="1"/>
        <v>I</v>
      </c>
      <c r="C17" s="4">
        <f t="shared" si="2"/>
        <v>30764.345000000001</v>
      </c>
      <c r="D17" s="5" t="str">
        <f t="shared" si="3"/>
        <v>vis</v>
      </c>
      <c r="E17" s="23">
        <f>VLOOKUP(C17,Active!C$21:E$973,3,FALSE)</f>
        <v>-76.983079863814837</v>
      </c>
      <c r="F17" s="3" t="s">
        <v>56</v>
      </c>
      <c r="G17" s="5" t="str">
        <f t="shared" si="4"/>
        <v>30764.345</v>
      </c>
      <c r="H17" s="4">
        <f t="shared" si="5"/>
        <v>-77</v>
      </c>
      <c r="I17" s="24" t="s">
        <v>64</v>
      </c>
      <c r="J17" s="25" t="s">
        <v>65</v>
      </c>
      <c r="K17" s="24">
        <v>-77</v>
      </c>
      <c r="L17" s="24" t="s">
        <v>66</v>
      </c>
      <c r="M17" s="25" t="s">
        <v>61</v>
      </c>
      <c r="N17" s="25"/>
      <c r="O17" s="26" t="s">
        <v>62</v>
      </c>
      <c r="P17" s="26" t="s">
        <v>63</v>
      </c>
    </row>
    <row r="18" spans="1:16" ht="12.75" customHeight="1" thickBot="1" x14ac:dyDescent="0.25">
      <c r="A18" s="4" t="str">
        <f t="shared" si="0"/>
        <v> VSS 4.260 </v>
      </c>
      <c r="B18" s="3" t="str">
        <f t="shared" si="1"/>
        <v>II</v>
      </c>
      <c r="C18" s="4">
        <f t="shared" si="2"/>
        <v>30778.278999999999</v>
      </c>
      <c r="D18" s="5" t="str">
        <f t="shared" si="3"/>
        <v>vis</v>
      </c>
      <c r="E18" s="23">
        <f>VLOOKUP(C18,Active!C$21:E$973,3,FALSE)</f>
        <v>-72.49914723543435</v>
      </c>
      <c r="F18" s="3" t="s">
        <v>56</v>
      </c>
      <c r="G18" s="5" t="str">
        <f t="shared" si="4"/>
        <v>30778.279</v>
      </c>
      <c r="H18" s="4">
        <f t="shared" si="5"/>
        <v>-72.5</v>
      </c>
      <c r="I18" s="24" t="s">
        <v>67</v>
      </c>
      <c r="J18" s="25" t="s">
        <v>68</v>
      </c>
      <c r="K18" s="24">
        <v>-72.5</v>
      </c>
      <c r="L18" s="24" t="s">
        <v>69</v>
      </c>
      <c r="M18" s="25" t="s">
        <v>61</v>
      </c>
      <c r="N18" s="25"/>
      <c r="O18" s="26" t="s">
        <v>62</v>
      </c>
      <c r="P18" s="26" t="s">
        <v>63</v>
      </c>
    </row>
    <row r="19" spans="1:16" ht="12.75" customHeight="1" thickBot="1" x14ac:dyDescent="0.25">
      <c r="A19" s="4" t="str">
        <f t="shared" si="0"/>
        <v> VSS 4.260 </v>
      </c>
      <c r="B19" s="3" t="str">
        <f t="shared" si="1"/>
        <v>I</v>
      </c>
      <c r="C19" s="4">
        <f t="shared" si="2"/>
        <v>31028.579000000002</v>
      </c>
      <c r="D19" s="5" t="str">
        <f t="shared" si="3"/>
        <v>vis</v>
      </c>
      <c r="E19" s="23">
        <f>VLOOKUP(C19,Active!C$21:E$973,3,FALSE)</f>
        <v>8.0468795252840586</v>
      </c>
      <c r="F19" s="3" t="s">
        <v>56</v>
      </c>
      <c r="G19" s="5" t="str">
        <f t="shared" si="4"/>
        <v>31028.579</v>
      </c>
      <c r="H19" s="4">
        <f t="shared" si="5"/>
        <v>8</v>
      </c>
      <c r="I19" s="24" t="s">
        <v>73</v>
      </c>
      <c r="J19" s="25" t="s">
        <v>74</v>
      </c>
      <c r="K19" s="24">
        <v>8</v>
      </c>
      <c r="L19" s="24" t="s">
        <v>75</v>
      </c>
      <c r="M19" s="25" t="s">
        <v>61</v>
      </c>
      <c r="N19" s="25"/>
      <c r="O19" s="26" t="s">
        <v>62</v>
      </c>
      <c r="P19" s="26" t="s">
        <v>63</v>
      </c>
    </row>
    <row r="20" spans="1:16" ht="12.75" customHeight="1" thickBot="1" x14ac:dyDescent="0.25">
      <c r="A20" s="4" t="str">
        <f t="shared" si="0"/>
        <v> VSS 4.260 </v>
      </c>
      <c r="B20" s="3" t="str">
        <f t="shared" si="1"/>
        <v>II</v>
      </c>
      <c r="C20" s="4">
        <f t="shared" si="2"/>
        <v>31443.444</v>
      </c>
      <c r="D20" s="5" t="str">
        <f t="shared" si="3"/>
        <v>vis</v>
      </c>
      <c r="E20" s="23">
        <f>VLOOKUP(C20,Active!C$21:E$973,3,FALSE)</f>
        <v>141.54958584603872</v>
      </c>
      <c r="F20" s="3" t="s">
        <v>56</v>
      </c>
      <c r="G20" s="5" t="str">
        <f t="shared" si="4"/>
        <v>31443.444</v>
      </c>
      <c r="H20" s="4">
        <f t="shared" si="5"/>
        <v>141.5</v>
      </c>
      <c r="I20" s="24" t="s">
        <v>76</v>
      </c>
      <c r="J20" s="25" t="s">
        <v>77</v>
      </c>
      <c r="K20" s="24">
        <v>141.5</v>
      </c>
      <c r="L20" s="24" t="s">
        <v>78</v>
      </c>
      <c r="M20" s="25" t="s">
        <v>61</v>
      </c>
      <c r="N20" s="25"/>
      <c r="O20" s="26" t="s">
        <v>62</v>
      </c>
      <c r="P20" s="26" t="s">
        <v>63</v>
      </c>
    </row>
    <row r="21" spans="1:16" ht="12.75" customHeight="1" thickBot="1" x14ac:dyDescent="0.25">
      <c r="A21" s="4" t="str">
        <f t="shared" si="0"/>
        <v> VSS 4.260 </v>
      </c>
      <c r="B21" s="3" t="str">
        <f t="shared" si="1"/>
        <v>II</v>
      </c>
      <c r="C21" s="4">
        <f t="shared" si="2"/>
        <v>31741.605</v>
      </c>
      <c r="D21" s="5" t="str">
        <f t="shared" si="3"/>
        <v>vis</v>
      </c>
      <c r="E21" s="23">
        <f>VLOOKUP(C21,Active!C$21:E$973,3,FALSE)</f>
        <v>237.49718426794158</v>
      </c>
      <c r="F21" s="3" t="s">
        <v>56</v>
      </c>
      <c r="G21" s="5" t="str">
        <f t="shared" si="4"/>
        <v>31741.605</v>
      </c>
      <c r="H21" s="4">
        <f t="shared" si="5"/>
        <v>237.5</v>
      </c>
      <c r="I21" s="24" t="s">
        <v>79</v>
      </c>
      <c r="J21" s="25" t="s">
        <v>80</v>
      </c>
      <c r="K21" s="24">
        <v>237.5</v>
      </c>
      <c r="L21" s="24" t="s">
        <v>81</v>
      </c>
      <c r="M21" s="25" t="s">
        <v>61</v>
      </c>
      <c r="N21" s="25"/>
      <c r="O21" s="26" t="s">
        <v>62</v>
      </c>
      <c r="P21" s="26" t="s">
        <v>63</v>
      </c>
    </row>
    <row r="22" spans="1:16" ht="12.75" customHeight="1" thickBot="1" x14ac:dyDescent="0.25">
      <c r="A22" s="4" t="str">
        <f t="shared" si="0"/>
        <v> VSS 4.260 </v>
      </c>
      <c r="B22" s="3" t="str">
        <f t="shared" si="1"/>
        <v>II</v>
      </c>
      <c r="C22" s="4">
        <f t="shared" si="2"/>
        <v>31763.467000000001</v>
      </c>
      <c r="D22" s="5" t="str">
        <f t="shared" si="3"/>
        <v>vis</v>
      </c>
      <c r="E22" s="23">
        <f>VLOOKUP(C22,Active!C$21:E$973,3,FALSE)</f>
        <v>244.53233103998667</v>
      </c>
      <c r="F22" s="3" t="s">
        <v>56</v>
      </c>
      <c r="G22" s="5" t="str">
        <f t="shared" si="4"/>
        <v>31763.467</v>
      </c>
      <c r="H22" s="4">
        <f t="shared" si="5"/>
        <v>244.5</v>
      </c>
      <c r="I22" s="24" t="s">
        <v>82</v>
      </c>
      <c r="J22" s="25" t="s">
        <v>83</v>
      </c>
      <c r="K22" s="24">
        <v>244.5</v>
      </c>
      <c r="L22" s="24" t="s">
        <v>84</v>
      </c>
      <c r="M22" s="25" t="s">
        <v>61</v>
      </c>
      <c r="N22" s="25"/>
      <c r="O22" s="26" t="s">
        <v>62</v>
      </c>
      <c r="P22" s="26" t="s">
        <v>63</v>
      </c>
    </row>
    <row r="23" spans="1:16" ht="12.75" customHeight="1" thickBot="1" x14ac:dyDescent="0.25">
      <c r="A23" s="4" t="str">
        <f t="shared" si="0"/>
        <v> VSS 4.260 </v>
      </c>
      <c r="B23" s="3" t="str">
        <f t="shared" si="1"/>
        <v>I</v>
      </c>
      <c r="C23" s="4">
        <f t="shared" si="2"/>
        <v>33657.343999999997</v>
      </c>
      <c r="D23" s="5" t="str">
        <f t="shared" si="3"/>
        <v>vis</v>
      </c>
      <c r="E23" s="23">
        <f>VLOOKUP(C23,Active!C$21:E$973,3,FALSE)</f>
        <v>853.97806625176088</v>
      </c>
      <c r="F23" s="3" t="s">
        <v>56</v>
      </c>
      <c r="G23" s="5" t="str">
        <f t="shared" si="4"/>
        <v>33657.344</v>
      </c>
      <c r="H23" s="4">
        <f t="shared" si="5"/>
        <v>854</v>
      </c>
      <c r="I23" s="24" t="s">
        <v>85</v>
      </c>
      <c r="J23" s="25" t="s">
        <v>86</v>
      </c>
      <c r="K23" s="24">
        <v>854</v>
      </c>
      <c r="L23" s="24" t="s">
        <v>87</v>
      </c>
      <c r="M23" s="25" t="s">
        <v>61</v>
      </c>
      <c r="N23" s="25"/>
      <c r="O23" s="26" t="s">
        <v>62</v>
      </c>
      <c r="P23" s="26" t="s">
        <v>63</v>
      </c>
    </row>
    <row r="24" spans="1:16" ht="12.75" customHeight="1" thickBot="1" x14ac:dyDescent="0.25">
      <c r="A24" s="4" t="str">
        <f t="shared" si="0"/>
        <v> VSS 4.260 </v>
      </c>
      <c r="B24" s="3" t="str">
        <f t="shared" si="1"/>
        <v>I</v>
      </c>
      <c r="C24" s="4">
        <f t="shared" si="2"/>
        <v>34086.341999999997</v>
      </c>
      <c r="D24" s="5" t="str">
        <f t="shared" si="3"/>
        <v>vis</v>
      </c>
      <c r="E24" s="23">
        <f>VLOOKUP(C24,Active!C$21:E$973,3,FALSE)</f>
        <v>992.02874299284849</v>
      </c>
      <c r="F24" s="3" t="s">
        <v>56</v>
      </c>
      <c r="G24" s="5" t="str">
        <f t="shared" si="4"/>
        <v>34086.342</v>
      </c>
      <c r="H24" s="4">
        <f t="shared" si="5"/>
        <v>992</v>
      </c>
      <c r="I24" s="24" t="s">
        <v>88</v>
      </c>
      <c r="J24" s="25" t="s">
        <v>89</v>
      </c>
      <c r="K24" s="24">
        <v>992</v>
      </c>
      <c r="L24" s="24" t="s">
        <v>90</v>
      </c>
      <c r="M24" s="25" t="s">
        <v>61</v>
      </c>
      <c r="N24" s="25"/>
      <c r="O24" s="26" t="s">
        <v>62</v>
      </c>
      <c r="P24" s="26" t="s">
        <v>63</v>
      </c>
    </row>
    <row r="25" spans="1:16" ht="12.75" customHeight="1" thickBot="1" x14ac:dyDescent="0.25">
      <c r="A25" s="4" t="str">
        <f t="shared" si="0"/>
        <v> VSS 4.260 </v>
      </c>
      <c r="B25" s="3" t="str">
        <f t="shared" si="1"/>
        <v>I</v>
      </c>
      <c r="C25" s="4">
        <f t="shared" si="2"/>
        <v>35018.514000000003</v>
      </c>
      <c r="D25" s="5" t="str">
        <f t="shared" si="3"/>
        <v>vis</v>
      </c>
      <c r="E25" s="23">
        <f>VLOOKUP(C25,Active!C$21:E$973,3,FALSE)</f>
        <v>1291.9997811773951</v>
      </c>
      <c r="F25" s="3" t="s">
        <v>56</v>
      </c>
      <c r="G25" s="5" t="str">
        <f t="shared" si="4"/>
        <v>35018.514</v>
      </c>
      <c r="H25" s="4">
        <f t="shared" si="5"/>
        <v>1292</v>
      </c>
      <c r="I25" s="24" t="s">
        <v>91</v>
      </c>
      <c r="J25" s="25" t="s">
        <v>92</v>
      </c>
      <c r="K25" s="24">
        <v>1292</v>
      </c>
      <c r="L25" s="24" t="s">
        <v>93</v>
      </c>
      <c r="M25" s="25" t="s">
        <v>61</v>
      </c>
      <c r="N25" s="25"/>
      <c r="O25" s="26" t="s">
        <v>62</v>
      </c>
      <c r="P25" s="26" t="s">
        <v>63</v>
      </c>
    </row>
    <row r="26" spans="1:16" ht="12.75" customHeight="1" thickBot="1" x14ac:dyDescent="0.25">
      <c r="A26" s="4" t="str">
        <f t="shared" si="0"/>
        <v> VSS 4.260 </v>
      </c>
      <c r="B26" s="3" t="str">
        <f t="shared" si="1"/>
        <v>I</v>
      </c>
      <c r="C26" s="4">
        <f t="shared" si="2"/>
        <v>35127.410000000003</v>
      </c>
      <c r="D26" s="5" t="str">
        <f t="shared" si="3"/>
        <v>vis</v>
      </c>
      <c r="E26" s="23">
        <f>VLOOKUP(C26,Active!C$21:E$973,3,FALSE)</f>
        <v>1327.0422906865247</v>
      </c>
      <c r="F26" s="3" t="s">
        <v>56</v>
      </c>
      <c r="G26" s="5" t="str">
        <f t="shared" si="4"/>
        <v>35127.410</v>
      </c>
      <c r="H26" s="4">
        <f t="shared" si="5"/>
        <v>1327</v>
      </c>
      <c r="I26" s="24" t="s">
        <v>94</v>
      </c>
      <c r="J26" s="25" t="s">
        <v>95</v>
      </c>
      <c r="K26" s="24">
        <v>1327</v>
      </c>
      <c r="L26" s="24" t="s">
        <v>96</v>
      </c>
      <c r="M26" s="25" t="s">
        <v>61</v>
      </c>
      <c r="N26" s="25"/>
      <c r="O26" s="26" t="s">
        <v>62</v>
      </c>
      <c r="P26" s="26" t="s">
        <v>63</v>
      </c>
    </row>
    <row r="27" spans="1:16" ht="12.75" customHeight="1" thickBot="1" x14ac:dyDescent="0.25">
      <c r="A27" s="4" t="str">
        <f t="shared" si="0"/>
        <v> VSS 4.260 </v>
      </c>
      <c r="B27" s="3" t="str">
        <f t="shared" si="1"/>
        <v>II</v>
      </c>
      <c r="C27" s="4">
        <f t="shared" si="2"/>
        <v>35399.476000000002</v>
      </c>
      <c r="D27" s="5" t="str">
        <f t="shared" si="3"/>
        <v>vis</v>
      </c>
      <c r="E27" s="23">
        <f>VLOOKUP(C27,Active!C$21:E$973,3,FALSE)</f>
        <v>1414.5925716161341</v>
      </c>
      <c r="F27" s="3" t="s">
        <v>56</v>
      </c>
      <c r="G27" s="5" t="str">
        <f t="shared" si="4"/>
        <v>35399.476</v>
      </c>
      <c r="H27" s="4">
        <f t="shared" si="5"/>
        <v>1414.5</v>
      </c>
      <c r="I27" s="24" t="s">
        <v>97</v>
      </c>
      <c r="J27" s="25" t="s">
        <v>98</v>
      </c>
      <c r="K27" s="24">
        <v>1414.5</v>
      </c>
      <c r="L27" s="24" t="s">
        <v>99</v>
      </c>
      <c r="M27" s="25" t="s">
        <v>61</v>
      </c>
      <c r="N27" s="25"/>
      <c r="O27" s="26" t="s">
        <v>62</v>
      </c>
      <c r="P27" s="26" t="s">
        <v>63</v>
      </c>
    </row>
    <row r="28" spans="1:16" ht="12.75" customHeight="1" thickBot="1" x14ac:dyDescent="0.25">
      <c r="A28" s="4" t="str">
        <f t="shared" si="0"/>
        <v> VSS 4.260 </v>
      </c>
      <c r="B28" s="3" t="str">
        <f t="shared" si="1"/>
        <v>I</v>
      </c>
      <c r="C28" s="4">
        <f t="shared" si="2"/>
        <v>35419.413</v>
      </c>
      <c r="D28" s="5" t="str">
        <f t="shared" si="3"/>
        <v>vis</v>
      </c>
      <c r="E28" s="23">
        <f>VLOOKUP(C28,Active!C$21:E$973,3,FALSE)</f>
        <v>1421.0082573353843</v>
      </c>
      <c r="F28" s="3" t="s">
        <v>56</v>
      </c>
      <c r="G28" s="5" t="str">
        <f t="shared" si="4"/>
        <v>35419.413</v>
      </c>
      <c r="H28" s="4">
        <f t="shared" si="5"/>
        <v>1421</v>
      </c>
      <c r="I28" s="24" t="s">
        <v>100</v>
      </c>
      <c r="J28" s="25" t="s">
        <v>101</v>
      </c>
      <c r="K28" s="24">
        <v>1421</v>
      </c>
      <c r="L28" s="24" t="s">
        <v>102</v>
      </c>
      <c r="M28" s="25" t="s">
        <v>61</v>
      </c>
      <c r="N28" s="25"/>
      <c r="O28" s="26" t="s">
        <v>62</v>
      </c>
      <c r="P28" s="26" t="s">
        <v>63</v>
      </c>
    </row>
    <row r="29" spans="1:16" ht="12.75" customHeight="1" thickBot="1" x14ac:dyDescent="0.25">
      <c r="A29" s="4" t="str">
        <f t="shared" si="0"/>
        <v> VSS 4.260 </v>
      </c>
      <c r="B29" s="3" t="str">
        <f t="shared" si="1"/>
        <v>II</v>
      </c>
      <c r="C29" s="4">
        <f t="shared" si="2"/>
        <v>35483.285000000003</v>
      </c>
      <c r="D29" s="5" t="str">
        <f t="shared" si="3"/>
        <v>vis</v>
      </c>
      <c r="E29" s="23">
        <f>VLOOKUP(C29,Active!C$21:E$973,3,FALSE)</f>
        <v>1441.5621359660706</v>
      </c>
      <c r="F29" s="3" t="s">
        <v>56</v>
      </c>
      <c r="G29" s="5" t="str">
        <f t="shared" si="4"/>
        <v>35483.285</v>
      </c>
      <c r="H29" s="4">
        <f t="shared" si="5"/>
        <v>1441.5</v>
      </c>
      <c r="I29" s="24" t="s">
        <v>103</v>
      </c>
      <c r="J29" s="25" t="s">
        <v>104</v>
      </c>
      <c r="K29" s="24">
        <v>1441.5</v>
      </c>
      <c r="L29" s="24" t="s">
        <v>105</v>
      </c>
      <c r="M29" s="25" t="s">
        <v>61</v>
      </c>
      <c r="N29" s="25"/>
      <c r="O29" s="26" t="s">
        <v>62</v>
      </c>
      <c r="P29" s="26" t="s">
        <v>63</v>
      </c>
    </row>
    <row r="30" spans="1:16" ht="12.75" customHeight="1" thickBot="1" x14ac:dyDescent="0.25">
      <c r="A30" s="4" t="str">
        <f t="shared" si="0"/>
        <v> VSS 4.260 </v>
      </c>
      <c r="B30" s="3" t="str">
        <f t="shared" si="1"/>
        <v>I</v>
      </c>
      <c r="C30" s="4">
        <f t="shared" si="2"/>
        <v>35503.309000000001</v>
      </c>
      <c r="D30" s="5" t="str">
        <f t="shared" si="3"/>
        <v>vis</v>
      </c>
      <c r="E30" s="23">
        <f>VLOOKUP(C30,Active!C$21:E$973,3,FALSE)</f>
        <v>1448.0058181069271</v>
      </c>
      <c r="F30" s="3" t="s">
        <v>56</v>
      </c>
      <c r="G30" s="5" t="str">
        <f t="shared" si="4"/>
        <v>35503.309</v>
      </c>
      <c r="H30" s="4">
        <f t="shared" si="5"/>
        <v>1448</v>
      </c>
      <c r="I30" s="24" t="s">
        <v>106</v>
      </c>
      <c r="J30" s="25" t="s">
        <v>107</v>
      </c>
      <c r="K30" s="24">
        <v>1448</v>
      </c>
      <c r="L30" s="24" t="s">
        <v>108</v>
      </c>
      <c r="M30" s="25" t="s">
        <v>61</v>
      </c>
      <c r="N30" s="25"/>
      <c r="O30" s="26" t="s">
        <v>62</v>
      </c>
      <c r="P30" s="26" t="s">
        <v>63</v>
      </c>
    </row>
    <row r="31" spans="1:16" ht="12.75" customHeight="1" thickBot="1" x14ac:dyDescent="0.25">
      <c r="A31" s="4" t="str">
        <f t="shared" si="0"/>
        <v> VSS 4.260 </v>
      </c>
      <c r="B31" s="3" t="str">
        <f t="shared" si="1"/>
        <v>II</v>
      </c>
      <c r="C31" s="4">
        <f t="shared" si="2"/>
        <v>35545.300999999999</v>
      </c>
      <c r="D31" s="5" t="str">
        <f t="shared" si="3"/>
        <v>vis</v>
      </c>
      <c r="E31" s="23">
        <f>VLOOKUP(C31,Active!C$21:E$973,3,FALSE)</f>
        <v>1461.5187576024762</v>
      </c>
      <c r="F31" s="3" t="s">
        <v>56</v>
      </c>
      <c r="G31" s="5" t="str">
        <f t="shared" si="4"/>
        <v>35545.301</v>
      </c>
      <c r="H31" s="4">
        <f t="shared" si="5"/>
        <v>1461.5</v>
      </c>
      <c r="I31" s="24" t="s">
        <v>109</v>
      </c>
      <c r="J31" s="25" t="s">
        <v>110</v>
      </c>
      <c r="K31" s="24">
        <v>1461.5</v>
      </c>
      <c r="L31" s="24" t="s">
        <v>111</v>
      </c>
      <c r="M31" s="25" t="s">
        <v>61</v>
      </c>
      <c r="N31" s="25"/>
      <c r="O31" s="26" t="s">
        <v>62</v>
      </c>
      <c r="P31" s="26" t="s">
        <v>63</v>
      </c>
    </row>
    <row r="32" spans="1:16" x14ac:dyDescent="0.2">
      <c r="B32" s="3"/>
      <c r="E32" s="23"/>
      <c r="F32" s="3"/>
    </row>
    <row r="33" spans="2:6" x14ac:dyDescent="0.2">
      <c r="B33" s="3"/>
      <c r="E33" s="23"/>
      <c r="F33" s="3"/>
    </row>
    <row r="34" spans="2:6" x14ac:dyDescent="0.2">
      <c r="B34" s="3"/>
      <c r="E34" s="23"/>
      <c r="F34" s="3"/>
    </row>
    <row r="35" spans="2:6" x14ac:dyDescent="0.2">
      <c r="B35" s="3"/>
      <c r="E35" s="23"/>
      <c r="F35" s="3"/>
    </row>
    <row r="36" spans="2:6" x14ac:dyDescent="0.2">
      <c r="B36" s="3"/>
      <c r="E36" s="23"/>
      <c r="F36" s="3"/>
    </row>
    <row r="37" spans="2:6" x14ac:dyDescent="0.2">
      <c r="B37" s="3"/>
      <c r="E37" s="23"/>
      <c r="F37" s="3"/>
    </row>
    <row r="38" spans="2:6" x14ac:dyDescent="0.2">
      <c r="B38" s="3"/>
      <c r="E38" s="23"/>
      <c r="F38" s="3"/>
    </row>
    <row r="39" spans="2:6" x14ac:dyDescent="0.2">
      <c r="B39" s="3"/>
      <c r="E39" s="23"/>
      <c r="F39" s="3"/>
    </row>
    <row r="40" spans="2:6" x14ac:dyDescent="0.2">
      <c r="B40" s="3"/>
      <c r="E40" s="23"/>
      <c r="F40" s="3"/>
    </row>
    <row r="41" spans="2:6" x14ac:dyDescent="0.2">
      <c r="B41" s="3"/>
      <c r="E41" s="23"/>
      <c r="F41" s="3"/>
    </row>
    <row r="42" spans="2:6" x14ac:dyDescent="0.2">
      <c r="B42" s="3"/>
      <c r="E42" s="23"/>
      <c r="F42" s="3"/>
    </row>
    <row r="43" spans="2:6" x14ac:dyDescent="0.2">
      <c r="B43" s="3"/>
      <c r="E43" s="23"/>
      <c r="F43" s="3"/>
    </row>
    <row r="44" spans="2:6" x14ac:dyDescent="0.2">
      <c r="B44" s="3"/>
      <c r="E44" s="23"/>
      <c r="F44" s="3"/>
    </row>
    <row r="45" spans="2:6" x14ac:dyDescent="0.2">
      <c r="B45" s="3"/>
      <c r="E45" s="23"/>
      <c r="F45" s="3"/>
    </row>
    <row r="46" spans="2:6" x14ac:dyDescent="0.2">
      <c r="B46" s="3"/>
      <c r="E46" s="23"/>
      <c r="F46" s="3"/>
    </row>
    <row r="47" spans="2:6" x14ac:dyDescent="0.2">
      <c r="B47" s="3"/>
      <c r="E47" s="23"/>
      <c r="F47" s="3"/>
    </row>
    <row r="48" spans="2:6" x14ac:dyDescent="0.2">
      <c r="B48" s="3"/>
      <c r="E48" s="23"/>
      <c r="F48" s="3"/>
    </row>
    <row r="49" spans="2:6" x14ac:dyDescent="0.2">
      <c r="B49" s="3"/>
      <c r="E49" s="23"/>
      <c r="F49" s="3"/>
    </row>
    <row r="50" spans="2:6" x14ac:dyDescent="0.2">
      <c r="B50" s="3"/>
      <c r="E50" s="23"/>
      <c r="F50" s="3"/>
    </row>
    <row r="51" spans="2:6" x14ac:dyDescent="0.2">
      <c r="B51" s="3"/>
      <c r="E51" s="23"/>
      <c r="F51" s="3"/>
    </row>
    <row r="52" spans="2:6" x14ac:dyDescent="0.2">
      <c r="B52" s="3"/>
      <c r="E52" s="23"/>
      <c r="F52" s="3"/>
    </row>
    <row r="53" spans="2:6" x14ac:dyDescent="0.2">
      <c r="B53" s="3"/>
      <c r="E53" s="23"/>
      <c r="F53" s="3"/>
    </row>
    <row r="54" spans="2:6" x14ac:dyDescent="0.2">
      <c r="B54" s="3"/>
      <c r="E54" s="23"/>
      <c r="F54" s="3"/>
    </row>
    <row r="55" spans="2:6" x14ac:dyDescent="0.2">
      <c r="B55" s="3"/>
      <c r="E55" s="23"/>
      <c r="F55" s="3"/>
    </row>
    <row r="56" spans="2:6" x14ac:dyDescent="0.2">
      <c r="B56" s="3"/>
      <c r="E56" s="23"/>
      <c r="F56" s="3"/>
    </row>
    <row r="57" spans="2:6" x14ac:dyDescent="0.2">
      <c r="B57" s="3"/>
      <c r="E57" s="23"/>
      <c r="F57" s="3"/>
    </row>
    <row r="58" spans="2:6" x14ac:dyDescent="0.2">
      <c r="B58" s="3"/>
      <c r="E58" s="23"/>
      <c r="F58" s="3"/>
    </row>
    <row r="59" spans="2:6" x14ac:dyDescent="0.2">
      <c r="B59" s="3"/>
      <c r="E59" s="23"/>
      <c r="F59" s="3"/>
    </row>
    <row r="60" spans="2:6" x14ac:dyDescent="0.2">
      <c r="B60" s="3"/>
      <c r="E60" s="23"/>
      <c r="F60" s="3"/>
    </row>
    <row r="61" spans="2:6" x14ac:dyDescent="0.2">
      <c r="B61" s="3"/>
      <c r="E61" s="23"/>
      <c r="F61" s="3"/>
    </row>
    <row r="62" spans="2:6" x14ac:dyDescent="0.2">
      <c r="B62" s="3"/>
      <c r="E62" s="23"/>
      <c r="F62" s="3"/>
    </row>
    <row r="63" spans="2:6" x14ac:dyDescent="0.2">
      <c r="B63" s="3"/>
      <c r="E63" s="23"/>
      <c r="F63" s="3"/>
    </row>
    <row r="64" spans="2:6" x14ac:dyDescent="0.2">
      <c r="B64" s="3"/>
      <c r="E64" s="23"/>
      <c r="F64" s="3"/>
    </row>
    <row r="65" spans="2:6" x14ac:dyDescent="0.2">
      <c r="B65" s="3"/>
      <c r="E65" s="23"/>
      <c r="F65" s="3"/>
    </row>
    <row r="66" spans="2:6" x14ac:dyDescent="0.2">
      <c r="B66" s="3"/>
      <c r="E66" s="23"/>
      <c r="F66" s="3"/>
    </row>
    <row r="67" spans="2:6" x14ac:dyDescent="0.2">
      <c r="B67" s="3"/>
      <c r="E67" s="23"/>
      <c r="F67" s="3"/>
    </row>
    <row r="68" spans="2:6" x14ac:dyDescent="0.2">
      <c r="B68" s="3"/>
      <c r="E68" s="23"/>
      <c r="F68" s="3"/>
    </row>
    <row r="69" spans="2:6" x14ac:dyDescent="0.2">
      <c r="B69" s="3"/>
      <c r="E69" s="23"/>
      <c r="F69" s="3"/>
    </row>
    <row r="70" spans="2:6" x14ac:dyDescent="0.2">
      <c r="B70" s="3"/>
      <c r="E70" s="23"/>
      <c r="F70" s="3"/>
    </row>
    <row r="71" spans="2:6" x14ac:dyDescent="0.2">
      <c r="B71" s="3"/>
      <c r="E71" s="23"/>
      <c r="F71" s="3"/>
    </row>
    <row r="72" spans="2:6" x14ac:dyDescent="0.2">
      <c r="B72" s="3"/>
      <c r="E72" s="23"/>
      <c r="F72" s="3"/>
    </row>
    <row r="73" spans="2:6" x14ac:dyDescent="0.2">
      <c r="B73" s="3"/>
      <c r="E73" s="2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</sheetData>
  <phoneticPr fontId="7" type="noConversion"/>
  <hyperlinks>
    <hyperlink ref="P12" r:id="rId1" display="http://www.bav-astro.de/sfs/BAVM_link.php?BAVMnr=178"/>
    <hyperlink ref="P13" r:id="rId2" display="http://www.bav-astro.de/sfs/BAVM_link.php?BAVMnr=201"/>
    <hyperlink ref="P14" r:id="rId3" display="http://www.konkoly.hu/cgi-bin/IBVS?5960"/>
    <hyperlink ref="P15" r:id="rId4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2024-02-28T06:59:59Z</dcterms:modified>
</cp:coreProperties>
</file>