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11A51B-27E2-4564-B169-68B3E6E03875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45" i="1" l="1"/>
  <c r="C14" i="1"/>
  <c r="C13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41" i="2"/>
  <c r="C41" i="2"/>
  <c r="E41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41" i="2"/>
  <c r="D41" i="2"/>
  <c r="B41" i="2"/>
  <c r="A41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Q44" i="1"/>
  <c r="Q53" i="1"/>
  <c r="Q47" i="1"/>
  <c r="Q48" i="1"/>
  <c r="Q49" i="1"/>
  <c r="Q50" i="1"/>
  <c r="Q51" i="1"/>
  <c r="Q52" i="1"/>
  <c r="F12" i="1"/>
  <c r="F13" i="1" s="1"/>
  <c r="Q37" i="1"/>
  <c r="Q38" i="1"/>
  <c r="Q39" i="1"/>
  <c r="Q40" i="1"/>
  <c r="Q42" i="1"/>
  <c r="Q41" i="1"/>
  <c r="Q43" i="1"/>
  <c r="Q46" i="1"/>
  <c r="D14" i="1"/>
  <c r="D13" i="1"/>
  <c r="C7" i="1"/>
  <c r="E45" i="1"/>
  <c r="F45" i="1"/>
  <c r="C8" i="1"/>
  <c r="C17" i="1"/>
  <c r="Q21" i="1"/>
  <c r="E11" i="2"/>
  <c r="E20" i="2"/>
  <c r="E21" i="2"/>
  <c r="E32" i="2"/>
  <c r="E37" i="2"/>
  <c r="E39" i="2"/>
  <c r="E28" i="2"/>
  <c r="E29" i="2"/>
  <c r="E25" i="2"/>
  <c r="E30" i="2"/>
  <c r="E50" i="1"/>
  <c r="F50" i="1"/>
  <c r="E42" i="1"/>
  <c r="F42" i="1"/>
  <c r="E38" i="1"/>
  <c r="E53" i="1"/>
  <c r="F53" i="1"/>
  <c r="E44" i="1"/>
  <c r="F44" i="1"/>
  <c r="E35" i="1"/>
  <c r="F35" i="1"/>
  <c r="G35" i="1"/>
  <c r="E31" i="1"/>
  <c r="F31" i="1"/>
  <c r="G31" i="1"/>
  <c r="E27" i="1"/>
  <c r="F27" i="1"/>
  <c r="E23" i="1"/>
  <c r="F23" i="1"/>
  <c r="E49" i="1"/>
  <c r="F49" i="1"/>
  <c r="G49" i="1"/>
  <c r="E41" i="1"/>
  <c r="F41" i="1"/>
  <c r="E37" i="1"/>
  <c r="F37" i="1"/>
  <c r="G37" i="1"/>
  <c r="G43" i="1"/>
  <c r="E34" i="1"/>
  <c r="F34" i="1"/>
  <c r="G34" i="1"/>
  <c r="E30" i="1"/>
  <c r="E26" i="1"/>
  <c r="F26" i="1"/>
  <c r="E22" i="1"/>
  <c r="G51" i="1"/>
  <c r="E52" i="1"/>
  <c r="F52" i="1"/>
  <c r="G52" i="1"/>
  <c r="E48" i="1"/>
  <c r="F48" i="1"/>
  <c r="G48" i="1"/>
  <c r="E40" i="1"/>
  <c r="F40" i="1"/>
  <c r="G40" i="1"/>
  <c r="E21" i="1"/>
  <c r="F21" i="1"/>
  <c r="E46" i="1"/>
  <c r="E43" i="1"/>
  <c r="F43" i="1"/>
  <c r="E33" i="1"/>
  <c r="F33" i="1"/>
  <c r="G33" i="1"/>
  <c r="E29" i="1"/>
  <c r="F29" i="1"/>
  <c r="G29" i="1"/>
  <c r="E25" i="1"/>
  <c r="F25" i="1"/>
  <c r="G25" i="1"/>
  <c r="G50" i="1"/>
  <c r="G42" i="1"/>
  <c r="G27" i="1"/>
  <c r="G23" i="1"/>
  <c r="G45" i="1"/>
  <c r="E51" i="1"/>
  <c r="F51" i="1"/>
  <c r="E47" i="1"/>
  <c r="F47" i="1"/>
  <c r="G47" i="1"/>
  <c r="E39" i="1"/>
  <c r="F39" i="1"/>
  <c r="G39" i="1"/>
  <c r="G53" i="1"/>
  <c r="G44" i="1"/>
  <c r="E36" i="1"/>
  <c r="F36" i="1"/>
  <c r="G36" i="1"/>
  <c r="E32" i="1"/>
  <c r="F32" i="1"/>
  <c r="G32" i="1"/>
  <c r="E28" i="1"/>
  <c r="F28" i="1"/>
  <c r="G28" i="1"/>
  <c r="E24" i="1"/>
  <c r="F24" i="1"/>
  <c r="G24" i="1"/>
  <c r="G41" i="1"/>
  <c r="G26" i="1"/>
  <c r="J28" i="1"/>
  <c r="R28" i="1"/>
  <c r="R35" i="1"/>
  <c r="J35" i="1"/>
  <c r="J36" i="1"/>
  <c r="R36" i="1"/>
  <c r="J24" i="1"/>
  <c r="R24" i="1"/>
  <c r="J32" i="1"/>
  <c r="R32" i="1"/>
  <c r="I39" i="1"/>
  <c r="R39" i="1"/>
  <c r="R31" i="1"/>
  <c r="J31" i="1"/>
  <c r="R34" i="1"/>
  <c r="J34" i="1"/>
  <c r="R37" i="1"/>
  <c r="J37" i="1"/>
  <c r="I47" i="1"/>
  <c r="R47" i="1"/>
  <c r="R49" i="1"/>
  <c r="I49" i="1"/>
  <c r="I42" i="1"/>
  <c r="R42" i="1"/>
  <c r="I43" i="1"/>
  <c r="S43" i="1"/>
  <c r="R50" i="1"/>
  <c r="I50" i="1"/>
  <c r="R48" i="1"/>
  <c r="I48" i="1"/>
  <c r="E15" i="2"/>
  <c r="E27" i="2"/>
  <c r="E31" i="2"/>
  <c r="G21" i="1"/>
  <c r="I40" i="1"/>
  <c r="R40" i="1"/>
  <c r="R45" i="1"/>
  <c r="N45" i="1"/>
  <c r="J25" i="1"/>
  <c r="R25" i="1"/>
  <c r="R52" i="1"/>
  <c r="I52" i="1"/>
  <c r="E40" i="2"/>
  <c r="E24" i="2"/>
  <c r="E16" i="2"/>
  <c r="R41" i="1"/>
  <c r="I41" i="1"/>
  <c r="R26" i="1"/>
  <c r="J26" i="1"/>
  <c r="R23" i="1"/>
  <c r="J23" i="1"/>
  <c r="I51" i="1"/>
  <c r="R51" i="1"/>
  <c r="F38" i="1"/>
  <c r="G38" i="1"/>
  <c r="E12" i="2"/>
  <c r="E35" i="2"/>
  <c r="J33" i="1"/>
  <c r="R33" i="1"/>
  <c r="F22" i="1"/>
  <c r="E26" i="2"/>
  <c r="E38" i="2"/>
  <c r="E23" i="2"/>
  <c r="E22" i="2"/>
  <c r="E36" i="2"/>
  <c r="J29" i="1"/>
  <c r="R29" i="1"/>
  <c r="R27" i="1"/>
  <c r="J27" i="1"/>
  <c r="E14" i="2"/>
  <c r="S44" i="1"/>
  <c r="I44" i="1"/>
  <c r="S53" i="1"/>
  <c r="I53" i="1"/>
  <c r="E19" i="2"/>
  <c r="F46" i="1"/>
  <c r="G46" i="1"/>
  <c r="F30" i="1"/>
  <c r="G30" i="1"/>
  <c r="E34" i="2"/>
  <c r="E17" i="2"/>
  <c r="E13" i="2"/>
  <c r="E18" i="2"/>
  <c r="E33" i="2"/>
  <c r="S19" i="1"/>
  <c r="E19" i="1"/>
  <c r="H21" i="1"/>
  <c r="R21" i="1"/>
  <c r="R30" i="1"/>
  <c r="J30" i="1"/>
  <c r="R38" i="1"/>
  <c r="J38" i="1"/>
  <c r="I46" i="1"/>
  <c r="S46" i="1"/>
  <c r="G22" i="1"/>
  <c r="R22" i="1"/>
  <c r="J22" i="1"/>
  <c r="R19" i="1"/>
  <c r="E18" i="1"/>
  <c r="C12" i="1"/>
  <c r="C11" i="1"/>
  <c r="D11" i="1"/>
  <c r="D12" i="1"/>
  <c r="D16" i="1" l="1"/>
  <c r="D19" i="1" s="1"/>
  <c r="P50" i="1"/>
  <c r="P25" i="1"/>
  <c r="P49" i="1"/>
  <c r="P30" i="1"/>
  <c r="P46" i="1"/>
  <c r="P45" i="1"/>
  <c r="P47" i="1"/>
  <c r="P52" i="1"/>
  <c r="P23" i="1"/>
  <c r="P51" i="1"/>
  <c r="P28" i="1"/>
  <c r="P29" i="1"/>
  <c r="P40" i="1"/>
  <c r="P48" i="1"/>
  <c r="P21" i="1"/>
  <c r="P37" i="1"/>
  <c r="D15" i="1"/>
  <c r="C19" i="1" s="1"/>
  <c r="P26" i="1"/>
  <c r="P44" i="1"/>
  <c r="P32" i="1"/>
  <c r="P35" i="1"/>
  <c r="P39" i="1"/>
  <c r="P24" i="1"/>
  <c r="P33" i="1"/>
  <c r="P42" i="1"/>
  <c r="P22" i="1"/>
  <c r="P31" i="1"/>
  <c r="P43" i="1"/>
  <c r="P36" i="1"/>
  <c r="P38" i="1"/>
  <c r="P53" i="1"/>
  <c r="P34" i="1"/>
  <c r="P27" i="1"/>
  <c r="P41" i="1"/>
  <c r="O22" i="1"/>
  <c r="O43" i="1"/>
  <c r="O27" i="1"/>
  <c r="O52" i="1"/>
  <c r="O30" i="1"/>
  <c r="O35" i="1"/>
  <c r="O48" i="1"/>
  <c r="O36" i="1"/>
  <c r="O53" i="1"/>
  <c r="O47" i="1"/>
  <c r="O25" i="1"/>
  <c r="O38" i="1"/>
  <c r="O33" i="1"/>
  <c r="O31" i="1"/>
  <c r="O29" i="1"/>
  <c r="O34" i="1"/>
  <c r="O50" i="1"/>
  <c r="O40" i="1"/>
  <c r="O23" i="1"/>
  <c r="C15" i="1"/>
  <c r="O28" i="1"/>
  <c r="O26" i="1"/>
  <c r="O42" i="1"/>
  <c r="O32" i="1"/>
  <c r="O46" i="1"/>
  <c r="O45" i="1"/>
  <c r="O44" i="1"/>
  <c r="O41" i="1"/>
  <c r="O49" i="1"/>
  <c r="O37" i="1"/>
  <c r="O51" i="1"/>
  <c r="O39" i="1"/>
  <c r="O21" i="1"/>
  <c r="O24" i="1"/>
  <c r="C16" i="1"/>
  <c r="D18" i="1" s="1"/>
  <c r="F14" i="1" l="1"/>
  <c r="F15" i="1" s="1"/>
  <c r="C18" i="1"/>
</calcChain>
</file>

<file path=xl/sharedStrings.xml><?xml version="1.0" encoding="utf-8"?>
<sst xmlns="http://schemas.openxmlformats.org/spreadsheetml/2006/main" count="351" uniqueCount="184">
  <si>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</si>
  <si>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</si>
  <si>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</si>
  <si>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</si>
  <si>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</si>
  <si>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</si>
  <si>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</si>
  <si>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</si>
  <si>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</si>
  <si>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</si>
  <si>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</si>
  <si>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</si>
  <si>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</si>
  <si>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</si>
  <si>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</si>
  <si>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</si>
  <si>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</si>
  <si>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</si>
  <si>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</si>
  <si>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</si>
  <si>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</si>
  <si>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</si>
  <si>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</si>
  <si>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</si>
  <si>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</si>
  <si>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</si>
  <si>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</si>
  <si>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</si>
  <si>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</si>
  <si>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</si>
  <si>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</si>
  <si>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</si>
  <si>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</si>
  <si>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EA/D</t>
  </si>
  <si>
    <t>Eccentric orbit</t>
  </si>
  <si>
    <t>BAAVSS 60,15</t>
  </si>
  <si>
    <t>BAAVSS 67,7</t>
  </si>
  <si>
    <t>IBVS 4009</t>
  </si>
  <si>
    <t>IBVS 5357</t>
  </si>
  <si>
    <t>I</t>
  </si>
  <si>
    <t>IBVS 4737</t>
  </si>
  <si>
    <t>IBVS 5577</t>
  </si>
  <si>
    <t>II</t>
  </si>
  <si>
    <t>IBVS 5894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</si>
  <si>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</si>
  <si>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</si>
  <si>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</si>
  <si>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</si>
  <si>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</si>
  <si>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</si>
  <si>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</si>
  <si>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IBVS 5972</t>
  </si>
  <si>
    <t>IBVS 5764</t>
  </si>
  <si>
    <t>IBVS 5992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</si>
  <si>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</si>
  <si>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</si>
  <si>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</si>
  <si>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</si>
  <si>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</si>
  <si>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</si>
  <si>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</si>
  <si>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</si>
  <si>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</si>
  <si>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</si>
  <si>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</si>
  <si>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</si>
  <si>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2425558.456 </t>
  </si>
  <si>
    <t> 07.11.1928 22:56 </t>
  </si>
  <si>
    <t> 0.026 </t>
  </si>
  <si>
    <t>P </t>
  </si>
  <si>
    <t> W.Strohmeier </t>
  </si>
  <si>
    <t> VB 5.3 </t>
  </si>
  <si>
    <t>2427098.370 </t>
  </si>
  <si>
    <t> 25.01.1933 20:52 </t>
  </si>
  <si>
    <t> 0.020 </t>
  </si>
  <si>
    <t>2427153.345 </t>
  </si>
  <si>
    <t> 21.03.1933 20:16 </t>
  </si>
  <si>
    <t> -0.002 </t>
  </si>
  <si>
    <t>2427153.367 </t>
  </si>
  <si>
    <t> 21.03.1933 20:48 </t>
  </si>
  <si>
    <t>2427483.341 </t>
  </si>
  <si>
    <t> 14.02.1934 20:11 </t>
  </si>
  <si>
    <t> 0.012 </t>
  </si>
  <si>
    <t>2428870.465 </t>
  </si>
  <si>
    <t> 02.12.1937 23:09 </t>
  </si>
  <si>
    <t> -0.014 </t>
  </si>
  <si>
    <t>2428870.526 </t>
  </si>
  <si>
    <t> 03.12.1937 00:37 </t>
  </si>
  <si>
    <t> 0.047 </t>
  </si>
  <si>
    <t>2431027.555 </t>
  </si>
  <si>
    <t> 30.10.1943 01:19 </t>
  </si>
  <si>
    <t> -0.034 </t>
  </si>
  <si>
    <t>2431027.601 </t>
  </si>
  <si>
    <t> 30.10.1943 02:25 </t>
  </si>
  <si>
    <t>2431027.624 </t>
  </si>
  <si>
    <t> 30.10.1943 02:58 </t>
  </si>
  <si>
    <t> 0.035 </t>
  </si>
  <si>
    <t>2433331.354 </t>
  </si>
  <si>
    <t> 18.02.1950 20:29 </t>
  </si>
  <si>
    <t>2434284.597 </t>
  </si>
  <si>
    <t> 29.09.1952 02:19 </t>
  </si>
  <si>
    <t> -0.044 </t>
  </si>
  <si>
    <t>2434333.460 </t>
  </si>
  <si>
    <t> 16.11.1952 23:02 </t>
  </si>
  <si>
    <t> -0.067 </t>
  </si>
  <si>
    <t>2434663.513 </t>
  </si>
  <si>
    <t> 13.10.1953 00:18 </t>
  </si>
  <si>
    <t> 0.003 </t>
  </si>
  <si>
    <t>2445357.374 </t>
  </si>
  <si>
    <t> 22.01.1983 20:58 </t>
  </si>
  <si>
    <t> -0.022 </t>
  </si>
  <si>
    <t>V </t>
  </si>
  <si>
    <t> T.Brelstaff </t>
  </si>
  <si>
    <t> VSSC 60.22 </t>
  </si>
  <si>
    <t>2445363.474 </t>
  </si>
  <si>
    <t> 28.01.1983 23:22 </t>
  </si>
  <si>
    <t> -0.033 </t>
  </si>
  <si>
    <t>2446457.294 </t>
  </si>
  <si>
    <t> 26.01.1986 19:03 </t>
  </si>
  <si>
    <t> -0.045 </t>
  </si>
  <si>
    <t> VSSC 67.11 </t>
  </si>
  <si>
    <t>2449341.5832 </t>
  </si>
  <si>
    <t> 20.12.1993 01:59 </t>
  </si>
  <si>
    <t> -0.0493 </t>
  </si>
  <si>
    <t>E </t>
  </si>
  <si>
    <t>?</t>
  </si>
  <si>
    <t> C.Sandberg Lacy </t>
  </si>
  <si>
    <t>IBVS 4009 </t>
  </si>
  <si>
    <t>2449353.8048 </t>
  </si>
  <si>
    <t> 01.01.1994 07:18 </t>
  </si>
  <si>
    <t> -0.0492 </t>
  </si>
  <si>
    <t>2451199.2593 </t>
  </si>
  <si>
    <t> 20.01.1999 18:13 </t>
  </si>
  <si>
    <t> -0.0539 </t>
  </si>
  <si>
    <t> C.Ibanoglu </t>
  </si>
  <si>
    <t>IBVS 4737 </t>
  </si>
  <si>
    <t>2452323.6440 </t>
  </si>
  <si>
    <t> 18.02.2002 03:27 </t>
  </si>
  <si>
    <t> -0.0550 </t>
  </si>
  <si>
    <t>G</t>
  </si>
  <si>
    <t> C.Lacy </t>
  </si>
  <si>
    <t>IBVS 5357 </t>
  </si>
  <si>
    <t>2453004.7802 </t>
  </si>
  <si>
    <t> 31.12.2003 06:43 </t>
  </si>
  <si>
    <t> -0.0545 </t>
  </si>
  <si>
    <t>IBVS 5577 </t>
  </si>
  <si>
    <t>2454104.7112 </t>
  </si>
  <si>
    <t> 04.01.2007 05:04 </t>
  </si>
  <si>
    <t> -0.0661 </t>
  </si>
  <si>
    <t>C </t>
  </si>
  <si>
    <t> C. Lacy </t>
  </si>
  <si>
    <t>IBVS 5764 </t>
  </si>
  <si>
    <t>2454114.1014 </t>
  </si>
  <si>
    <t> 13.01.2007 14:26 </t>
  </si>
  <si>
    <t> -0.0596 </t>
  </si>
  <si>
    <t>Ic</t>
  </si>
  <si>
    <t> K.Nakajima </t>
  </si>
  <si>
    <t>VSB 46 </t>
  </si>
  <si>
    <t>2454874.6947 </t>
  </si>
  <si>
    <t> 12.02.2009 04:40 </t>
  </si>
  <si>
    <t> -0.0424 </t>
  </si>
  <si>
    <t> R.Diethelm </t>
  </si>
  <si>
    <t>IBVS 5894 </t>
  </si>
  <si>
    <t>2455152.9342 </t>
  </si>
  <si>
    <t> 17.11.2009 10:25 </t>
  </si>
  <si>
    <t> -0.0615 </t>
  </si>
  <si>
    <t>IBVS 5972 </t>
  </si>
  <si>
    <t>2455482.9157 </t>
  </si>
  <si>
    <t> 13.10.2010 09:58 </t>
  </si>
  <si>
    <t> -0.0627 </t>
  </si>
  <si>
    <t>2455531.8024 </t>
  </si>
  <si>
    <t> 01.12.2010 07:15 </t>
  </si>
  <si>
    <t> -0.0624 </t>
  </si>
  <si>
    <t>2455537.9129 </t>
  </si>
  <si>
    <t> 07.12.2010 09:54 </t>
  </si>
  <si>
    <t>2455580.6883 </t>
  </si>
  <si>
    <t> 19.01.2011 04:31 </t>
  </si>
  <si>
    <t> -0.0628 </t>
  </si>
  <si>
    <t>2455589.6376 </t>
  </si>
  <si>
    <t> 28.01.2011 03:18 </t>
  </si>
  <si>
    <t> -0.0621 </t>
  </si>
  <si>
    <t>IBVS 5992 </t>
  </si>
  <si>
    <t>V0530 Ori / gsc 4786-0571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</si>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</sst>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Ori - O-C Diagr.</a:t>
            </a:r>
          </a:p>
        </c:rich>
      </c:tx>
      <c:layout>
        <c:manualLayout>
          <c:xMode val="edge"/>
          <c:yMode val="edge"/>
          <c:x val="0.3709677419354838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111544980583"/>
          <c:y val="0.1135735305814046"/>
          <c:w val="0.84358056741544907"/>
          <c:h val="0.680703730215541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1'!$C$21:$C$494</c:f>
                <c:numCache>
                  <c:formatCode>General</c:formatCode>
                  <c:ptCount val="474"/>
                  <c:pt idx="0">
                    <c:v>25558.43</c:v>
                  </c:pt>
                  <c:pt idx="1">
                    <c:v>25558.455999999998</c:v>
                  </c:pt>
                  <c:pt idx="2">
                    <c:v>27098.37</c:v>
                  </c:pt>
                  <c:pt idx="3">
                    <c:v>27153.345000000001</c:v>
                  </c:pt>
                  <c:pt idx="4">
                    <c:v>27153.366999999998</c:v>
                  </c:pt>
                  <c:pt idx="5">
                    <c:v>27483.341</c:v>
                  </c:pt>
                  <c:pt idx="6">
                    <c:v>28870.465</c:v>
                  </c:pt>
                  <c:pt idx="7">
                    <c:v>28870.526000000002</c:v>
                  </c:pt>
                  <c:pt idx="8">
                    <c:v>31027.555</c:v>
                  </c:pt>
                  <c:pt idx="9">
                    <c:v>31027.600999999999</c:v>
                  </c:pt>
                  <c:pt idx="10">
                    <c:v>31027.624</c:v>
                  </c:pt>
                  <c:pt idx="11">
                    <c:v>33331.353999999999</c:v>
                  </c:pt>
                  <c:pt idx="12">
                    <c:v>34284.597000000002</c:v>
                  </c:pt>
                  <c:pt idx="13">
                    <c:v>34333.46</c:v>
                  </c:pt>
                  <c:pt idx="14">
                    <c:v>34663.512999999999</c:v>
                  </c:pt>
                  <c:pt idx="15">
                    <c:v>45357.374000000003</c:v>
                  </c:pt>
                  <c:pt idx="16">
                    <c:v>45363.474000000002</c:v>
                  </c:pt>
                  <c:pt idx="17">
                    <c:v>46457.294000000002</c:v>
                  </c:pt>
                  <c:pt idx="18">
                    <c:v>49341.583200000001</c:v>
                  </c:pt>
                  <c:pt idx="19">
                    <c:v>49353.804799999998</c:v>
                  </c:pt>
                  <c:pt idx="20">
                    <c:v>51199.259299999998</c:v>
                  </c:pt>
                  <c:pt idx="21">
                    <c:v>52323.644</c:v>
                  </c:pt>
                  <c:pt idx="22">
                    <c:v>53004.780200000001</c:v>
                  </c:pt>
                  <c:pt idx="23">
                    <c:v>54104.711199999998</c:v>
                  </c:pt>
                  <c:pt idx="24">
                    <c:v>54114.1014</c:v>
                  </c:pt>
                  <c:pt idx="25">
                    <c:v>54874.6947</c:v>
                  </c:pt>
                  <c:pt idx="26">
                    <c:v>55152.934200000003</c:v>
                  </c:pt>
                  <c:pt idx="27">
                    <c:v>55482.915699999998</c:v>
                  </c:pt>
                  <c:pt idx="28">
                    <c:v>55531.8024</c:v>
                  </c:pt>
                  <c:pt idx="29">
                    <c:v>55531.8024</c:v>
                  </c:pt>
                  <c:pt idx="30">
                    <c:v>55537.912900000003</c:v>
                  </c:pt>
                  <c:pt idx="31">
                    <c:v>55580.688300000002</c:v>
                  </c:pt>
                  <c:pt idx="32">
                    <c:v>55589.637600000002</c:v>
                  </c:pt>
                </c:numCache>
              </c:numRef>
            </c:plus>
            <c:minus>
              <c:numRef>
                <c:f>'Active 1'!$C$21:$C$494</c:f>
                <c:numCache>
                  <c:formatCode>General</c:formatCode>
                  <c:ptCount val="474"/>
                  <c:pt idx="0">
                    <c:v>25558.43</c:v>
                  </c:pt>
                  <c:pt idx="1">
                    <c:v>25558.455999999998</c:v>
                  </c:pt>
                  <c:pt idx="2">
                    <c:v>27098.37</c:v>
                  </c:pt>
                  <c:pt idx="3">
                    <c:v>27153.345000000001</c:v>
                  </c:pt>
                  <c:pt idx="4">
                    <c:v>27153.366999999998</c:v>
                  </c:pt>
                  <c:pt idx="5">
                    <c:v>27483.341</c:v>
                  </c:pt>
                  <c:pt idx="6">
                    <c:v>28870.465</c:v>
                  </c:pt>
                  <c:pt idx="7">
                    <c:v>28870.526000000002</c:v>
                  </c:pt>
                  <c:pt idx="8">
                    <c:v>31027.555</c:v>
                  </c:pt>
                  <c:pt idx="9">
                    <c:v>31027.600999999999</c:v>
                  </c:pt>
                  <c:pt idx="10">
                    <c:v>31027.624</c:v>
                  </c:pt>
                  <c:pt idx="11">
                    <c:v>33331.353999999999</c:v>
                  </c:pt>
                  <c:pt idx="12">
                    <c:v>34284.597000000002</c:v>
                  </c:pt>
                  <c:pt idx="13">
                    <c:v>34333.46</c:v>
                  </c:pt>
                  <c:pt idx="14">
                    <c:v>34663.512999999999</c:v>
                  </c:pt>
                  <c:pt idx="15">
                    <c:v>45357.374000000003</c:v>
                  </c:pt>
                  <c:pt idx="16">
                    <c:v>45363.474000000002</c:v>
                  </c:pt>
                  <c:pt idx="17">
                    <c:v>46457.294000000002</c:v>
                  </c:pt>
                  <c:pt idx="18">
                    <c:v>49341.583200000001</c:v>
                  </c:pt>
                  <c:pt idx="19">
                    <c:v>49353.804799999998</c:v>
                  </c:pt>
                  <c:pt idx="20">
                    <c:v>51199.259299999998</c:v>
                  </c:pt>
                  <c:pt idx="21">
                    <c:v>52323.644</c:v>
                  </c:pt>
                  <c:pt idx="22">
                    <c:v>53004.780200000001</c:v>
                  </c:pt>
                  <c:pt idx="23">
                    <c:v>54104.711199999998</c:v>
                  </c:pt>
                  <c:pt idx="24">
                    <c:v>54114.1014</c:v>
                  </c:pt>
                  <c:pt idx="25">
                    <c:v>54874.6947</c:v>
                  </c:pt>
                  <c:pt idx="26">
                    <c:v>55152.934200000003</c:v>
                  </c:pt>
                  <c:pt idx="27">
                    <c:v>55482.915699999998</c:v>
                  </c:pt>
                  <c:pt idx="28">
                    <c:v>55531.8024</c:v>
                  </c:pt>
                  <c:pt idx="29">
                    <c:v>55531.8024</c:v>
                  </c:pt>
                  <c:pt idx="30">
                    <c:v>55537.912900000003</c:v>
                  </c:pt>
                  <c:pt idx="31">
                    <c:v>55580.688300000002</c:v>
                  </c:pt>
                  <c:pt idx="32">
                    <c:v>55589.637600000002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3-4904-94B1-FA48AF58F7F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8">
                  <c:v>-4.9264000001130626E-2</c:v>
                </c:pt>
                <c:pt idx="19">
                  <c:v>-4.9248000002990011E-2</c:v>
                </c:pt>
                <c:pt idx="20">
                  <c:v>-5.3932000002532732E-2</c:v>
                </c:pt>
                <c:pt idx="21">
                  <c:v>-5.4960000001301523E-2</c:v>
                </c:pt>
                <c:pt idx="22">
                  <c:v>-0.27206799999839859</c:v>
                </c:pt>
                <c:pt idx="23">
                  <c:v>-0.28362799999740673</c:v>
                </c:pt>
                <c:pt idx="25">
                  <c:v>-0.25992000000405824</c:v>
                </c:pt>
                <c:pt idx="26">
                  <c:v>-6.1455999995814636E-2</c:v>
                </c:pt>
                <c:pt idx="27">
                  <c:v>-6.2724000003072433E-2</c:v>
                </c:pt>
                <c:pt idx="28">
                  <c:v>-6.235999999626074E-2</c:v>
                </c:pt>
                <c:pt idx="29">
                  <c:v>-6.235999999626074E-2</c:v>
                </c:pt>
                <c:pt idx="30">
                  <c:v>-6.2652000000525732E-2</c:v>
                </c:pt>
                <c:pt idx="31">
                  <c:v>-6.2795999998343177E-2</c:v>
                </c:pt>
                <c:pt idx="32">
                  <c:v>-0.27968399999372195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3-4904-94B1-FA48AF58F7F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1">
                  <c:v>2.599999999802094E-2</c:v>
                </c:pt>
                <c:pt idx="2">
                  <c:v>2.0415999999386258E-2</c:v>
                </c:pt>
                <c:pt idx="3">
                  <c:v>-1.7119999974966049E-3</c:v>
                </c:pt>
                <c:pt idx="4">
                  <c:v>2.0287999999709427E-2</c:v>
                </c:pt>
                <c:pt idx="5">
                  <c:v>1.1520000000018626E-2</c:v>
                </c:pt>
                <c:pt idx="6">
                  <c:v>-1.4264000001276145E-2</c:v>
                </c:pt>
                <c:pt idx="7">
                  <c:v>4.6736000000237254E-2</c:v>
                </c:pt>
                <c:pt idx="8">
                  <c:v>-3.3840000000054715E-2</c:v>
                </c:pt>
                <c:pt idx="9">
                  <c:v>1.2159999998402782E-2</c:v>
                </c:pt>
                <c:pt idx="10">
                  <c:v>3.515999999945052E-2</c:v>
                </c:pt>
                <c:pt idx="11">
                  <c:v>-3.4240000022691675E-3</c:v>
                </c:pt>
                <c:pt idx="12">
                  <c:v>-4.3976000000839122E-2</c:v>
                </c:pt>
                <c:pt idx="13">
                  <c:v>-6.7311999999219552E-2</c:v>
                </c:pt>
                <c:pt idx="14">
                  <c:v>2.9199999989941716E-3</c:v>
                </c:pt>
                <c:pt idx="15">
                  <c:v>-2.2079999995185062E-2</c:v>
                </c:pt>
                <c:pt idx="16">
                  <c:v>-3.2871999996132217E-2</c:v>
                </c:pt>
                <c:pt idx="17">
                  <c:v>-4.4640000000072177E-2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3-4904-94B1-FA48AF58F7F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3-4904-94B1-FA48AF58F7F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3-4904-94B1-FA48AF58F7F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A3-4904-94B1-FA48AF58F7F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  <c:pt idx="24">
                  <c:v>-5.96159999986412E-2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A3-4904-94B1-FA48AF58F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12336"/>
        <c:axId val="1"/>
      </c:scatterChart>
      <c:valAx>
        <c:axId val="65851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201706394330138E-2"/>
              <c:y val="0.3708206474190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51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"/>
          <c:y val="0.92097264437689974"/>
          <c:w val="0.3951612903225806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Ori - Prim. O-C Diagr.</a:t>
            </a:r>
          </a:p>
        </c:rich>
      </c:tx>
      <c:layout>
        <c:manualLayout>
          <c:xMode val="edge"/>
          <c:yMode val="edge"/>
          <c:x val="0.2889815072492237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2.599999999802094E-2</c:v>
                </c:pt>
                <c:pt idx="2">
                  <c:v>2.0415999999386258E-2</c:v>
                </c:pt>
                <c:pt idx="3">
                  <c:v>-1.7119999974966049E-3</c:v>
                </c:pt>
                <c:pt idx="4">
                  <c:v>2.0287999999709427E-2</c:v>
                </c:pt>
                <c:pt idx="5">
                  <c:v>1.1520000000018626E-2</c:v>
                </c:pt>
                <c:pt idx="6">
                  <c:v>-1.4264000001276145E-2</c:v>
                </c:pt>
                <c:pt idx="7">
                  <c:v>4.6736000000237254E-2</c:v>
                </c:pt>
                <c:pt idx="8">
                  <c:v>-3.3840000000054715E-2</c:v>
                </c:pt>
                <c:pt idx="9">
                  <c:v>1.2159999998402782E-2</c:v>
                </c:pt>
                <c:pt idx="10">
                  <c:v>3.515999999945052E-2</c:v>
                </c:pt>
                <c:pt idx="11">
                  <c:v>-3.4240000022691675E-3</c:v>
                </c:pt>
                <c:pt idx="12">
                  <c:v>-4.3976000000839122E-2</c:v>
                </c:pt>
                <c:pt idx="13">
                  <c:v>-6.7311999999219552E-2</c:v>
                </c:pt>
                <c:pt idx="14">
                  <c:v>2.9199999989941716E-3</c:v>
                </c:pt>
                <c:pt idx="15">
                  <c:v>-2.2079999995185062E-2</c:v>
                </c:pt>
                <c:pt idx="16">
                  <c:v>-3.2871999996132217E-2</c:v>
                </c:pt>
                <c:pt idx="17">
                  <c:v>-4.4640000000072177E-2</c:v>
                </c:pt>
                <c:pt idx="18">
                  <c:v>-4.9264000001130626E-2</c:v>
                </c:pt>
                <c:pt idx="19">
                  <c:v>-4.9248000002990011E-2</c:v>
                </c:pt>
                <c:pt idx="20">
                  <c:v>-5.3932000002532732E-2</c:v>
                </c:pt>
                <c:pt idx="21">
                  <c:v>-5.4960000001301523E-2</c:v>
                </c:pt>
                <c:pt idx="24">
                  <c:v>-5.96159999986412E-2</c:v>
                </c:pt>
                <c:pt idx="26">
                  <c:v>-6.1455999995814636E-2</c:v>
                </c:pt>
                <c:pt idx="27">
                  <c:v>-6.2724000003072433E-2</c:v>
                </c:pt>
                <c:pt idx="28">
                  <c:v>-6.235999999626074E-2</c:v>
                </c:pt>
                <c:pt idx="29">
                  <c:v>-6.235999999626074E-2</c:v>
                </c:pt>
                <c:pt idx="30">
                  <c:v>-6.2652000000525732E-2</c:v>
                </c:pt>
                <c:pt idx="31">
                  <c:v>-6.2795999998343177E-2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55-4469-968E-0B7EE7DE0AE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-1.0431289135648045E-3</c:v>
                </c:pt>
                <c:pt idx="1">
                  <c:v>-1.0431289135648045E-3</c:v>
                </c:pt>
                <c:pt idx="2">
                  <c:v>-4.1963615637693671E-3</c:v>
                </c:pt>
                <c:pt idx="3">
                  <c:v>-4.3089770155623867E-3</c:v>
                </c:pt>
                <c:pt idx="4">
                  <c:v>-4.3089770155623867E-3</c:v>
                </c:pt>
                <c:pt idx="5">
                  <c:v>-4.9846697263205078E-3</c:v>
                </c:pt>
                <c:pt idx="6">
                  <c:v>-7.8250816771000143E-3</c:v>
                </c:pt>
                <c:pt idx="7">
                  <c:v>-7.8250816771000143E-3</c:v>
                </c:pt>
                <c:pt idx="8">
                  <c:v>-1.2242109952981802E-2</c:v>
                </c:pt>
                <c:pt idx="9">
                  <c:v>-1.2242109952981802E-2</c:v>
                </c:pt>
                <c:pt idx="10">
                  <c:v>-1.2242109952981802E-2</c:v>
                </c:pt>
                <c:pt idx="11">
                  <c:v>-1.6959446100311644E-2</c:v>
                </c:pt>
                <c:pt idx="12">
                  <c:v>-1.8911447264723991E-2</c:v>
                </c:pt>
                <c:pt idx="13">
                  <c:v>-1.9011549888540008E-2</c:v>
                </c:pt>
                <c:pt idx="14">
                  <c:v>-1.9687242599298129E-2</c:v>
                </c:pt>
                <c:pt idx="15">
                  <c:v>-4.1584691559052034E-2</c:v>
                </c:pt>
                <c:pt idx="16">
                  <c:v>-4.1597204387029039E-2</c:v>
                </c:pt>
                <c:pt idx="17">
                  <c:v>-4.383700059491244E-2</c:v>
                </c:pt>
                <c:pt idx="18">
                  <c:v>-4.9743055400057488E-2</c:v>
                </c:pt>
                <c:pt idx="19">
                  <c:v>-4.9768081056011493E-2</c:v>
                </c:pt>
                <c:pt idx="20">
                  <c:v>-5.3546955105066171E-2</c:v>
                </c:pt>
                <c:pt idx="21">
                  <c:v>-5.5849315452834579E-2</c:v>
                </c:pt>
                <c:pt idx="22">
                  <c:v>-5.724449577227033E-2</c:v>
                </c:pt>
                <c:pt idx="23">
                  <c:v>-5.9496804808130729E-2</c:v>
                </c:pt>
                <c:pt idx="24">
                  <c:v>-5.9515574050096234E-2</c:v>
                </c:pt>
                <c:pt idx="25">
                  <c:v>-6.1073421133233011E-2</c:v>
                </c:pt>
                <c:pt idx="26">
                  <c:v>-6.1642754806186612E-2</c:v>
                </c:pt>
                <c:pt idx="27">
                  <c:v>-6.2318447516944736E-2</c:v>
                </c:pt>
                <c:pt idx="28">
                  <c:v>-6.2418550140760753E-2</c:v>
                </c:pt>
                <c:pt idx="29">
                  <c:v>-6.2418550140760753E-2</c:v>
                </c:pt>
                <c:pt idx="30">
                  <c:v>-6.2431062968737752E-2</c:v>
                </c:pt>
                <c:pt idx="31">
                  <c:v>-6.2518652764576771E-2</c:v>
                </c:pt>
                <c:pt idx="32">
                  <c:v>-6.2537422006542276E-2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55-4469-968E-0B7EE7DE0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24528"/>
        <c:axId val="1"/>
      </c:scatterChart>
      <c:valAx>
        <c:axId val="83832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32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Ori - Sec. O-C Diagr.</a:t>
            </a:r>
          </a:p>
        </c:rich>
      </c:tx>
      <c:layout>
        <c:manualLayout>
          <c:xMode val="edge"/>
          <c:yMode val="edge"/>
          <c:x val="0.29795939793240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365241714406"/>
          <c:y val="0.1458966565349544"/>
          <c:w val="0.7591844299908621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22">
                  <c:v>-0.27206799999839859</c:v>
                </c:pt>
                <c:pt idx="23">
                  <c:v>-0.28362799999740673</c:v>
                </c:pt>
                <c:pt idx="25">
                  <c:v>-0.25992000000405824</c:v>
                </c:pt>
                <c:pt idx="32">
                  <c:v>-0.27968399999372195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C-4272-BEBF-1B6DEF93902F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252</c:v>
                </c:pt>
                <c:pt idx="3">
                  <c:v>261</c:v>
                </c:pt>
                <c:pt idx="4">
                  <c:v>261</c:v>
                </c:pt>
                <c:pt idx="5">
                  <c:v>315</c:v>
                </c:pt>
                <c:pt idx="6">
                  <c:v>542</c:v>
                </c:pt>
                <c:pt idx="7">
                  <c:v>542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1272</c:v>
                </c:pt>
                <c:pt idx="12">
                  <c:v>1428</c:v>
                </c:pt>
                <c:pt idx="13">
                  <c:v>1436</c:v>
                </c:pt>
                <c:pt idx="14">
                  <c:v>1490</c:v>
                </c:pt>
                <c:pt idx="15">
                  <c:v>3240</c:v>
                </c:pt>
                <c:pt idx="16">
                  <c:v>3241</c:v>
                </c:pt>
                <c:pt idx="17">
                  <c:v>3420</c:v>
                </c:pt>
                <c:pt idx="18">
                  <c:v>3892</c:v>
                </c:pt>
                <c:pt idx="19">
                  <c:v>3894</c:v>
                </c:pt>
                <c:pt idx="20">
                  <c:v>4196</c:v>
                </c:pt>
                <c:pt idx="21">
                  <c:v>4380</c:v>
                </c:pt>
                <c:pt idx="22">
                  <c:v>4491.5</c:v>
                </c:pt>
                <c:pt idx="23">
                  <c:v>4671.5</c:v>
                </c:pt>
                <c:pt idx="24">
                  <c:v>4673</c:v>
                </c:pt>
                <c:pt idx="25">
                  <c:v>4797.5</c:v>
                </c:pt>
                <c:pt idx="26">
                  <c:v>4843</c:v>
                </c:pt>
                <c:pt idx="27">
                  <c:v>4897</c:v>
                </c:pt>
                <c:pt idx="28">
                  <c:v>4905</c:v>
                </c:pt>
                <c:pt idx="29">
                  <c:v>4905</c:v>
                </c:pt>
                <c:pt idx="30">
                  <c:v>4906</c:v>
                </c:pt>
                <c:pt idx="31">
                  <c:v>4913</c:v>
                </c:pt>
                <c:pt idx="32">
                  <c:v>4914.5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-0.27440207063220062</c:v>
                </c:pt>
                <c:pt idx="1">
                  <c:v>-0.27440207063220062</c:v>
                </c:pt>
                <c:pt idx="2">
                  <c:v>-0.27437125276735957</c:v>
                </c:pt>
                <c:pt idx="3">
                  <c:v>-0.27437015212932953</c:v>
                </c:pt>
                <c:pt idx="4">
                  <c:v>-0.27437015212932953</c:v>
                </c:pt>
                <c:pt idx="5">
                  <c:v>-0.27436354830114934</c:v>
                </c:pt>
                <c:pt idx="6">
                  <c:v>-0.2743357877641695</c:v>
                </c:pt>
                <c:pt idx="7">
                  <c:v>-0.2743357877641695</c:v>
                </c:pt>
                <c:pt idx="8">
                  <c:v>-0.27429261829476914</c:v>
                </c:pt>
                <c:pt idx="9">
                  <c:v>-0.27429261829476914</c:v>
                </c:pt>
                <c:pt idx="10">
                  <c:v>-0.27429261829476914</c:v>
                </c:pt>
                <c:pt idx="11">
                  <c:v>-0.27424651379062204</c:v>
                </c:pt>
                <c:pt idx="12">
                  <c:v>-0.27422743606476807</c:v>
                </c:pt>
                <c:pt idx="13">
                  <c:v>-0.27422645771985249</c:v>
                </c:pt>
                <c:pt idx="14">
                  <c:v>-0.27421985389167225</c:v>
                </c:pt>
                <c:pt idx="15">
                  <c:v>-0.27400584094138725</c:v>
                </c:pt>
                <c:pt idx="16">
                  <c:v>-0.27400571864827278</c:v>
                </c:pt>
                <c:pt idx="17">
                  <c:v>-0.27398382818078648</c:v>
                </c:pt>
                <c:pt idx="18">
                  <c:v>-0.27392610583076676</c:v>
                </c:pt>
                <c:pt idx="19">
                  <c:v>-0.27392586124453788</c:v>
                </c:pt>
                <c:pt idx="20">
                  <c:v>-0.27388892872397441</c:v>
                </c:pt>
                <c:pt idx="21">
                  <c:v>-0.27386642679091588</c:v>
                </c:pt>
                <c:pt idx="22">
                  <c:v>-0.27385279110865485</c:v>
                </c:pt>
                <c:pt idx="23">
                  <c:v>-0.27383077834805408</c:v>
                </c:pt>
                <c:pt idx="24">
                  <c:v>-0.27383059490838241</c:v>
                </c:pt>
                <c:pt idx="25">
                  <c:v>-0.27381536941563356</c:v>
                </c:pt>
                <c:pt idx="26">
                  <c:v>-0.27380980507892616</c:v>
                </c:pt>
                <c:pt idx="27">
                  <c:v>-0.27380320125074592</c:v>
                </c:pt>
                <c:pt idx="28">
                  <c:v>-0.27380222290583034</c:v>
                </c:pt>
                <c:pt idx="29">
                  <c:v>-0.27380222290583034</c:v>
                </c:pt>
                <c:pt idx="30">
                  <c:v>-0.27380210061271593</c:v>
                </c:pt>
                <c:pt idx="31">
                  <c:v>-0.27380124456091476</c:v>
                </c:pt>
                <c:pt idx="32">
                  <c:v>-0.27380106112124308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C-4272-BEBF-1B6DEF93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08376"/>
        <c:axId val="1"/>
      </c:scatterChart>
      <c:valAx>
        <c:axId val="658508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6943060688842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508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795961219133319"/>
          <c:y val="0.92097264437689974"/>
          <c:w val="0.3306126734158229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95250</xdr:colOff>
      <xdr:row>18</xdr:row>
      <xdr:rowOff>57150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3513A14F-CC24-4DFA-AE30-4EDB9654F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12</xdr:col>
      <xdr:colOff>314325</xdr:colOff>
      <xdr:row>22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649069-77DA-C07D-C01F-7BC77BA92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23</xdr:row>
      <xdr:rowOff>95250</xdr:rowOff>
    </xdr:from>
    <xdr:to>
      <xdr:col>12</xdr:col>
      <xdr:colOff>190499</xdr:colOff>
      <xdr:row>45</xdr:row>
      <xdr:rowOff>19050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E87C89D-B2E5-C8D8-164A-3147AF53E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4" TargetMode="External"/><Relationship Id="rId13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4737" TargetMode="External"/><Relationship Id="rId7" Type="http://schemas.openxmlformats.org/officeDocument/2006/relationships/hyperlink" Target="http://vsolj.cetus-net.org/no46.pdf" TargetMode="External"/><Relationship Id="rId1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konkoly.hu/cgi-bin/IBVS?4009" TargetMode="External"/><Relationship Id="rId1" Type="http://schemas.openxmlformats.org/officeDocument/2006/relationships/hyperlink" Target="http://www.konkoly.hu/cgi-bin/IBVS?4009" TargetMode="External"/><Relationship Id="rId6" Type="http://schemas.openxmlformats.org/officeDocument/2006/relationships/hyperlink" Target="http://www.konkoly.hu/cgi-bin/IBVS?5764" TargetMode="External"/><Relationship Id="rId11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577" TargetMode="External"/><Relationship Id="rId10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357" TargetMode="External"/><Relationship Id="rId9" Type="http://schemas.openxmlformats.org/officeDocument/2006/relationships/hyperlink" Target="http://www.konkoly.hu/cgi-bin/IBVS?5972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28515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7" t="s">
        <v>182</v>
      </c>
      <c r="B1" s="3"/>
    </row>
    <row r="2" spans="1:6" s="28" customFormat="1" ht="12.95" customHeight="1" x14ac:dyDescent="0.2">
      <c r="A2" s="28" t="s">
        <v>17</v>
      </c>
      <c r="B2" s="29" t="s">
        <v>33</v>
      </c>
    </row>
    <row r="3" spans="1:6" s="28" customFormat="1" ht="12.95" customHeight="1" thickBot="1" x14ac:dyDescent="0.25">
      <c r="B3" s="30"/>
      <c r="C3" s="31" t="s">
        <v>34</v>
      </c>
    </row>
    <row r="4" spans="1:6" s="28" customFormat="1" ht="12.95" customHeight="1" thickTop="1" thickBot="1" x14ac:dyDescent="0.25">
      <c r="A4" s="32" t="s">
        <v>0</v>
      </c>
      <c r="B4" s="30"/>
      <c r="C4" s="33">
        <v>25558.43</v>
      </c>
      <c r="D4" s="34">
        <v>6.110792</v>
      </c>
    </row>
    <row r="5" spans="1:6" s="28" customFormat="1" ht="12.95" customHeight="1" thickTop="1" x14ac:dyDescent="0.2">
      <c r="A5" s="35" t="s">
        <v>44</v>
      </c>
      <c r="C5" s="36">
        <v>-9.5</v>
      </c>
      <c r="D5" s="28" t="s">
        <v>45</v>
      </c>
    </row>
    <row r="6" spans="1:6" s="28" customFormat="1" ht="12.95" customHeight="1" x14ac:dyDescent="0.2">
      <c r="A6" s="32" t="s">
        <v>1</v>
      </c>
    </row>
    <row r="7" spans="1:6" s="28" customFormat="1" ht="12.95" customHeight="1" x14ac:dyDescent="0.2">
      <c r="A7" s="28" t="s">
        <v>2</v>
      </c>
      <c r="C7" s="28">
        <f>+C4</f>
        <v>25558.43</v>
      </c>
    </row>
    <row r="8" spans="1:6" s="28" customFormat="1" ht="12.95" customHeight="1" x14ac:dyDescent="0.2">
      <c r="A8" s="28" t="s">
        <v>3</v>
      </c>
      <c r="C8" s="28">
        <f>D4</f>
        <v>6.110792</v>
      </c>
    </row>
    <row r="9" spans="1:6" s="28" customFormat="1" ht="12.95" customHeight="1" x14ac:dyDescent="0.2">
      <c r="A9" s="37" t="s">
        <v>30</v>
      </c>
      <c r="B9" s="37"/>
      <c r="C9" s="38">
        <v>38</v>
      </c>
      <c r="D9" s="38">
        <v>21</v>
      </c>
    </row>
    <row r="10" spans="1:6" s="28" customFormat="1" ht="12.95" customHeight="1" thickBot="1" x14ac:dyDescent="0.25">
      <c r="C10" s="39" t="s">
        <v>19</v>
      </c>
      <c r="D10" s="39" t="s">
        <v>20</v>
      </c>
    </row>
    <row r="11" spans="1:6" s="28" customFormat="1" ht="12.95" customHeight="1" x14ac:dyDescent="0.2">
      <c r="A11" s="28" t="s">
        <v>14</v>
      </c>
      <c r="C11" s="40">
        <f ca="1">INTERCEPT(INDIRECT(C14):R$935,INDIRECT(C13):$F$935)</f>
        <v>-1.0431289135648045E-3</v>
      </c>
      <c r="D11" s="40">
        <f ca="1">INTERCEPT(INDIRECT(D14):S$935,INDIRECT(D13):$F$935)</f>
        <v>-0.27440207063220062</v>
      </c>
      <c r="E11" s="37" t="s">
        <v>46</v>
      </c>
      <c r="F11" s="28">
        <v>1</v>
      </c>
    </row>
    <row r="12" spans="1:6" s="28" customFormat="1" ht="12.95" customHeight="1" x14ac:dyDescent="0.2">
      <c r="A12" s="28" t="s">
        <v>15</v>
      </c>
      <c r="C12" s="40">
        <f ca="1">SLOPE(INDIRECT(C14):R$935,INDIRECT(C13):$F$935)</f>
        <v>-1.2512827977002232E-5</v>
      </c>
      <c r="D12" s="40">
        <f ca="1">SLOPE(INDIRECT(D14):S$935,INDIRECT(D13):$F$935)</f>
        <v>1.2229311444857593E-7</v>
      </c>
      <c r="E12" s="37" t="s">
        <v>47</v>
      </c>
      <c r="F12" s="41">
        <f ca="1">NOW()+15018.5+$C$5/24</f>
        <v>60368.83504849537</v>
      </c>
    </row>
    <row r="13" spans="1:6" s="28" customFormat="1" ht="12.95" customHeight="1" x14ac:dyDescent="0.2">
      <c r="A13" s="37" t="s">
        <v>31</v>
      </c>
      <c r="B13" s="37"/>
      <c r="C13" s="38" t="str">
        <f>"F"&amp;C9</f>
        <v>F38</v>
      </c>
      <c r="D13" s="38" t="str">
        <f>"F"&amp;D9</f>
        <v>F21</v>
      </c>
      <c r="E13" s="37" t="s">
        <v>48</v>
      </c>
      <c r="F13" s="41">
        <f ca="1">ROUND(2*(F12-$C$7)/$C$8,0)/2+F11</f>
        <v>5697.5</v>
      </c>
    </row>
    <row r="14" spans="1:6" s="28" customFormat="1" ht="12.95" customHeight="1" x14ac:dyDescent="0.2">
      <c r="A14" s="37" t="s">
        <v>32</v>
      </c>
      <c r="B14" s="37"/>
      <c r="C14" s="38" t="str">
        <f>"R"&amp;C9</f>
        <v>R38</v>
      </c>
      <c r="D14" s="38" t="str">
        <f>"S"&amp;D9</f>
        <v>S21</v>
      </c>
      <c r="E14" s="37" t="s">
        <v>49</v>
      </c>
      <c r="F14" s="40">
        <f ca="1">ROUND(2*(F12-$C$15)/$C$16,0)/2+F11</f>
        <v>783.5</v>
      </c>
    </row>
    <row r="15" spans="1:6" s="28" customFormat="1" ht="12.95" customHeight="1" x14ac:dyDescent="0.2">
      <c r="A15" s="42" t="s">
        <v>16</v>
      </c>
      <c r="C15" s="43">
        <f ca="1">($C7+C11)+($C8+C12)*INT(MAX($F21:$F3533))</f>
        <v>55586.79935683441</v>
      </c>
      <c r="D15" s="43">
        <f ca="1">($C7+D11)+($C8+D12)*INT(MAX($F21:$F3533))</f>
        <v>55586.588086877731</v>
      </c>
      <c r="E15" s="37" t="s">
        <v>50</v>
      </c>
      <c r="F15" s="44">
        <f ca="1">+$C$15+$C$16*F14-15018.5-$C$5/24</f>
        <v>45356.490918367024</v>
      </c>
    </row>
    <row r="16" spans="1:6" s="28" customFormat="1" ht="12.95" customHeight="1" x14ac:dyDescent="0.2">
      <c r="A16" s="32" t="s">
        <v>4</v>
      </c>
      <c r="C16" s="45">
        <f ca="1">+$C8+C12</f>
        <v>6.1107794871720227</v>
      </c>
      <c r="D16" s="40">
        <f ca="1">+$C8+D12</f>
        <v>6.1107921222931143</v>
      </c>
    </row>
    <row r="17" spans="1:19" s="28" customFormat="1" ht="12.95" customHeight="1" thickBot="1" x14ac:dyDescent="0.25">
      <c r="A17" s="37" t="s">
        <v>29</v>
      </c>
      <c r="C17" s="28">
        <f>COUNT(C21:C1247)</f>
        <v>33</v>
      </c>
    </row>
    <row r="18" spans="1:19" s="28" customFormat="1" ht="12.95" customHeight="1" thickTop="1" thickBot="1" x14ac:dyDescent="0.25">
      <c r="A18" s="32" t="s">
        <v>22</v>
      </c>
      <c r="C18" s="33">
        <f ca="1">+C15</f>
        <v>55586.79935683441</v>
      </c>
      <c r="D18" s="34">
        <f ca="1">+C16</f>
        <v>6.1107794871720227</v>
      </c>
      <c r="E18" s="46">
        <f>R19</f>
        <v>29</v>
      </c>
    </row>
    <row r="19" spans="1:19" s="28" customFormat="1" ht="12.95" customHeight="1" thickTop="1" thickBot="1" x14ac:dyDescent="0.25">
      <c r="A19" s="32" t="s">
        <v>23</v>
      </c>
      <c r="C19" s="33">
        <f ca="1">+D15</f>
        <v>55586.588086877731</v>
      </c>
      <c r="D19" s="34">
        <f ca="1">+D16</f>
        <v>6.1107921222931143</v>
      </c>
      <c r="E19" s="46">
        <f>S19</f>
        <v>4</v>
      </c>
      <c r="R19" s="28">
        <f>COUNT(R21:R322)</f>
        <v>29</v>
      </c>
      <c r="S19" s="28">
        <f>COUNT(S21:S322)</f>
        <v>4</v>
      </c>
    </row>
    <row r="20" spans="1:19" s="28" customFormat="1" ht="12.95" customHeight="1" thickTop="1" thickBot="1" x14ac:dyDescent="0.25">
      <c r="A20" s="39" t="s">
        <v>5</v>
      </c>
      <c r="B20" s="39" t="s">
        <v>6</v>
      </c>
      <c r="C20" s="39" t="s">
        <v>7</v>
      </c>
      <c r="D20" s="39" t="s">
        <v>12</v>
      </c>
      <c r="E20" s="39" t="s">
        <v>8</v>
      </c>
      <c r="F20" s="39" t="s">
        <v>9</v>
      </c>
      <c r="G20" s="39" t="s">
        <v>10</v>
      </c>
      <c r="H20" s="47" t="s">
        <v>11</v>
      </c>
      <c r="I20" s="47" t="s">
        <v>56</v>
      </c>
      <c r="J20" s="47" t="s">
        <v>183</v>
      </c>
      <c r="K20" s="47" t="s">
        <v>26</v>
      </c>
      <c r="L20" s="47" t="s">
        <v>27</v>
      </c>
      <c r="M20" s="47" t="s">
        <v>18</v>
      </c>
      <c r="N20" s="47" t="s">
        <v>21</v>
      </c>
      <c r="O20" s="47" t="s">
        <v>24</v>
      </c>
      <c r="P20" s="48" t="s">
        <v>25</v>
      </c>
      <c r="Q20" s="39" t="s">
        <v>13</v>
      </c>
      <c r="R20" s="49" t="s">
        <v>19</v>
      </c>
      <c r="S20" s="49" t="s">
        <v>20</v>
      </c>
    </row>
    <row r="21" spans="1:19" s="28" customFormat="1" ht="12.95" customHeight="1" x14ac:dyDescent="0.2">
      <c r="A21" s="28" t="s">
        <v>11</v>
      </c>
      <c r="B21" s="30"/>
      <c r="C21" s="4">
        <v>25558.43</v>
      </c>
      <c r="D21" s="4" t="s">
        <v>28</v>
      </c>
      <c r="E21" s="28">
        <f t="shared" ref="E21:E53" si="0">+(C21-C$7)/C$8</f>
        <v>0</v>
      </c>
      <c r="F21" s="28">
        <f t="shared" ref="F21:F53" si="1">ROUND(2*E21,0)/2</f>
        <v>0</v>
      </c>
      <c r="G21" s="28">
        <f t="shared" ref="G21:G53" si="2">+C21-(C$7+F21*C$8)</f>
        <v>0</v>
      </c>
      <c r="H21" s="28">
        <f>+G21</f>
        <v>0</v>
      </c>
      <c r="O21" s="28">
        <f t="shared" ref="O21:O53" ca="1" si="3">+C$11+C$12*$F21</f>
        <v>-1.0431289135648045E-3</v>
      </c>
      <c r="P21" s="28">
        <f t="shared" ref="P21:P53" ca="1" si="4">+D$11+D$12*$F21</f>
        <v>-0.27440207063220062</v>
      </c>
      <c r="Q21" s="50">
        <f t="shared" ref="Q21:Q53" si="5">+C21-15018.5</f>
        <v>10539.93</v>
      </c>
      <c r="R21" s="28">
        <f t="shared" ref="R21:R42" si="6">G21</f>
        <v>0</v>
      </c>
    </row>
    <row r="22" spans="1:19" s="28" customFormat="1" ht="12.95" customHeight="1" x14ac:dyDescent="0.2">
      <c r="A22" s="51" t="s">
        <v>71</v>
      </c>
      <c r="B22" s="52" t="s">
        <v>39</v>
      </c>
      <c r="C22" s="51">
        <v>25558.455999999998</v>
      </c>
      <c r="E22" s="28">
        <f t="shared" si="0"/>
        <v>4.2547676304513296E-3</v>
      </c>
      <c r="F22" s="28">
        <f t="shared" si="1"/>
        <v>0</v>
      </c>
      <c r="G22" s="28">
        <f t="shared" si="2"/>
        <v>2.599999999802094E-2</v>
      </c>
      <c r="J22" s="28">
        <f>+G22</f>
        <v>2.599999999802094E-2</v>
      </c>
      <c r="O22" s="28">
        <f t="shared" ca="1" si="3"/>
        <v>-1.0431289135648045E-3</v>
      </c>
      <c r="P22" s="28">
        <f t="shared" ca="1" si="4"/>
        <v>-0.27440207063220062</v>
      </c>
      <c r="Q22" s="50">
        <f t="shared" si="5"/>
        <v>10539.955999999998</v>
      </c>
      <c r="R22" s="28">
        <f t="shared" si="6"/>
        <v>2.599999999802094E-2</v>
      </c>
    </row>
    <row r="23" spans="1:19" s="28" customFormat="1" ht="12.95" customHeight="1" x14ac:dyDescent="0.2">
      <c r="A23" s="51" t="s">
        <v>71</v>
      </c>
      <c r="B23" s="52" t="s">
        <v>39</v>
      </c>
      <c r="C23" s="51">
        <v>27098.37</v>
      </c>
      <c r="E23" s="28">
        <f t="shared" si="0"/>
        <v>252.00334097445941</v>
      </c>
      <c r="F23" s="28">
        <f t="shared" si="1"/>
        <v>252</v>
      </c>
      <c r="G23" s="28">
        <f t="shared" si="2"/>
        <v>2.0415999999386258E-2</v>
      </c>
      <c r="J23" s="28">
        <f>+G23</f>
        <v>2.0415999999386258E-2</v>
      </c>
      <c r="O23" s="28">
        <f t="shared" ca="1" si="3"/>
        <v>-4.1963615637693671E-3</v>
      </c>
      <c r="P23" s="28">
        <f t="shared" ca="1" si="4"/>
        <v>-0.27437125276735957</v>
      </c>
      <c r="Q23" s="50">
        <f t="shared" si="5"/>
        <v>12079.869999999999</v>
      </c>
      <c r="R23" s="28">
        <f t="shared" si="6"/>
        <v>2.0415999999386258E-2</v>
      </c>
    </row>
    <row r="24" spans="1:19" s="28" customFormat="1" ht="12.95" customHeight="1" x14ac:dyDescent="0.2">
      <c r="A24" s="51" t="s">
        <v>71</v>
      </c>
      <c r="B24" s="52" t="s">
        <v>39</v>
      </c>
      <c r="C24" s="51">
        <v>27153.345000000001</v>
      </c>
      <c r="E24" s="28">
        <f t="shared" si="0"/>
        <v>260.99971983991617</v>
      </c>
      <c r="F24" s="28">
        <f t="shared" si="1"/>
        <v>261</v>
      </c>
      <c r="G24" s="28">
        <f t="shared" si="2"/>
        <v>-1.7119999974966049E-3</v>
      </c>
      <c r="J24" s="28">
        <f>+G24</f>
        <v>-1.7119999974966049E-3</v>
      </c>
      <c r="O24" s="28">
        <f t="shared" ca="1" si="3"/>
        <v>-4.3089770155623867E-3</v>
      </c>
      <c r="P24" s="28">
        <f t="shared" ca="1" si="4"/>
        <v>-0.27437015212932953</v>
      </c>
      <c r="Q24" s="50">
        <f t="shared" si="5"/>
        <v>12134.845000000001</v>
      </c>
      <c r="R24" s="28">
        <f t="shared" si="6"/>
        <v>-1.7119999974966049E-3</v>
      </c>
    </row>
    <row r="25" spans="1:19" s="28" customFormat="1" ht="12.95" customHeight="1" x14ac:dyDescent="0.2">
      <c r="A25" s="51" t="s">
        <v>71</v>
      </c>
      <c r="B25" s="52" t="s">
        <v>39</v>
      </c>
      <c r="C25" s="51">
        <v>27153.366999999998</v>
      </c>
      <c r="E25" s="28">
        <f t="shared" si="0"/>
        <v>261.00332002791095</v>
      </c>
      <c r="F25" s="28">
        <f t="shared" si="1"/>
        <v>261</v>
      </c>
      <c r="G25" s="28">
        <f t="shared" si="2"/>
        <v>2.0287999999709427E-2</v>
      </c>
      <c r="J25" s="28">
        <f>+G25</f>
        <v>2.0287999999709427E-2</v>
      </c>
      <c r="O25" s="28">
        <f t="shared" ca="1" si="3"/>
        <v>-4.3089770155623867E-3</v>
      </c>
      <c r="P25" s="28">
        <f t="shared" ca="1" si="4"/>
        <v>-0.27437015212932953</v>
      </c>
      <c r="Q25" s="50">
        <f t="shared" si="5"/>
        <v>12134.866999999998</v>
      </c>
      <c r="R25" s="28">
        <f t="shared" si="6"/>
        <v>2.0287999999709427E-2</v>
      </c>
    </row>
    <row r="26" spans="1:19" s="28" customFormat="1" ht="12.95" customHeight="1" x14ac:dyDescent="0.2">
      <c r="A26" s="51" t="s">
        <v>71</v>
      </c>
      <c r="B26" s="52" t="s">
        <v>39</v>
      </c>
      <c r="C26" s="51">
        <v>27483.341</v>
      </c>
      <c r="E26" s="28">
        <f t="shared" si="0"/>
        <v>315.00188518935028</v>
      </c>
      <c r="F26" s="28">
        <f t="shared" si="1"/>
        <v>315</v>
      </c>
      <c r="G26" s="28">
        <f t="shared" si="2"/>
        <v>1.1520000000018626E-2</v>
      </c>
      <c r="J26" s="28">
        <f>+G26</f>
        <v>1.1520000000018626E-2</v>
      </c>
      <c r="O26" s="28">
        <f t="shared" ca="1" si="3"/>
        <v>-4.9846697263205078E-3</v>
      </c>
      <c r="P26" s="28">
        <f t="shared" ca="1" si="4"/>
        <v>-0.27436354830114934</v>
      </c>
      <c r="Q26" s="50">
        <f t="shared" si="5"/>
        <v>12464.841</v>
      </c>
      <c r="R26" s="28">
        <f t="shared" si="6"/>
        <v>1.1520000000018626E-2</v>
      </c>
    </row>
    <row r="27" spans="1:19" s="28" customFormat="1" ht="12.95" customHeight="1" x14ac:dyDescent="0.2">
      <c r="A27" s="51" t="s">
        <v>71</v>
      </c>
      <c r="B27" s="52" t="s">
        <v>39</v>
      </c>
      <c r="C27" s="51">
        <v>28870.465</v>
      </c>
      <c r="E27" s="28">
        <f t="shared" si="0"/>
        <v>541.99766576901982</v>
      </c>
      <c r="F27" s="28">
        <f t="shared" si="1"/>
        <v>542</v>
      </c>
      <c r="G27" s="28">
        <f t="shared" si="2"/>
        <v>-1.4264000001276145E-2</v>
      </c>
      <c r="J27" s="28">
        <f>+G27</f>
        <v>-1.4264000001276145E-2</v>
      </c>
      <c r="O27" s="28">
        <f t="shared" ca="1" si="3"/>
        <v>-7.8250816771000143E-3</v>
      </c>
      <c r="P27" s="28">
        <f t="shared" ca="1" si="4"/>
        <v>-0.2743357877641695</v>
      </c>
      <c r="Q27" s="50">
        <f t="shared" si="5"/>
        <v>13851.965</v>
      </c>
      <c r="R27" s="28">
        <f t="shared" si="6"/>
        <v>-1.4264000001276145E-2</v>
      </c>
    </row>
    <row r="28" spans="1:19" s="28" customFormat="1" ht="12.95" customHeight="1" x14ac:dyDescent="0.2">
      <c r="A28" s="51" t="s">
        <v>71</v>
      </c>
      <c r="B28" s="52" t="s">
        <v>39</v>
      </c>
      <c r="C28" s="51">
        <v>28870.526000000002</v>
      </c>
      <c r="E28" s="28">
        <f t="shared" si="0"/>
        <v>542.00764810846147</v>
      </c>
      <c r="F28" s="28">
        <f t="shared" si="1"/>
        <v>542</v>
      </c>
      <c r="G28" s="28">
        <f t="shared" si="2"/>
        <v>4.6736000000237254E-2</v>
      </c>
      <c r="J28" s="28">
        <f>+G28</f>
        <v>4.6736000000237254E-2</v>
      </c>
      <c r="O28" s="28">
        <f t="shared" ca="1" si="3"/>
        <v>-7.8250816771000143E-3</v>
      </c>
      <c r="P28" s="28">
        <f t="shared" ca="1" si="4"/>
        <v>-0.2743357877641695</v>
      </c>
      <c r="Q28" s="50">
        <f t="shared" si="5"/>
        <v>13852.026000000002</v>
      </c>
      <c r="R28" s="28">
        <f t="shared" si="6"/>
        <v>4.6736000000237254E-2</v>
      </c>
    </row>
    <row r="29" spans="1:19" s="28" customFormat="1" ht="12.95" customHeight="1" x14ac:dyDescent="0.2">
      <c r="A29" s="51" t="s">
        <v>71</v>
      </c>
      <c r="B29" s="52" t="s">
        <v>39</v>
      </c>
      <c r="C29" s="51">
        <v>31027.555</v>
      </c>
      <c r="E29" s="28">
        <f t="shared" si="0"/>
        <v>894.99446225628367</v>
      </c>
      <c r="F29" s="28">
        <f t="shared" si="1"/>
        <v>895</v>
      </c>
      <c r="G29" s="28">
        <f t="shared" si="2"/>
        <v>-3.3840000000054715E-2</v>
      </c>
      <c r="J29" s="28">
        <f>+G29</f>
        <v>-3.3840000000054715E-2</v>
      </c>
      <c r="O29" s="28">
        <f t="shared" ca="1" si="3"/>
        <v>-1.2242109952981802E-2</v>
      </c>
      <c r="P29" s="28">
        <f t="shared" ca="1" si="4"/>
        <v>-0.27429261829476914</v>
      </c>
      <c r="Q29" s="50">
        <f t="shared" si="5"/>
        <v>16009.055</v>
      </c>
      <c r="R29" s="28">
        <f t="shared" si="6"/>
        <v>-3.3840000000054715E-2</v>
      </c>
    </row>
    <row r="30" spans="1:19" s="28" customFormat="1" ht="12.95" customHeight="1" x14ac:dyDescent="0.2">
      <c r="A30" s="51" t="s">
        <v>71</v>
      </c>
      <c r="B30" s="52" t="s">
        <v>39</v>
      </c>
      <c r="C30" s="51">
        <v>31027.600999999999</v>
      </c>
      <c r="E30" s="28">
        <f t="shared" si="0"/>
        <v>895.00198992209164</v>
      </c>
      <c r="F30" s="28">
        <f t="shared" si="1"/>
        <v>895</v>
      </c>
      <c r="G30" s="28">
        <f t="shared" si="2"/>
        <v>1.2159999998402782E-2</v>
      </c>
      <c r="J30" s="28">
        <f>+G30</f>
        <v>1.2159999998402782E-2</v>
      </c>
      <c r="O30" s="28">
        <f t="shared" ca="1" si="3"/>
        <v>-1.2242109952981802E-2</v>
      </c>
      <c r="P30" s="28">
        <f t="shared" ca="1" si="4"/>
        <v>-0.27429261829476914</v>
      </c>
      <c r="Q30" s="50">
        <f t="shared" si="5"/>
        <v>16009.100999999999</v>
      </c>
      <c r="R30" s="28">
        <f t="shared" si="6"/>
        <v>1.2159999998402782E-2</v>
      </c>
    </row>
    <row r="31" spans="1:19" s="28" customFormat="1" ht="12.95" customHeight="1" x14ac:dyDescent="0.2">
      <c r="A31" s="51" t="s">
        <v>71</v>
      </c>
      <c r="B31" s="52" t="s">
        <v>39</v>
      </c>
      <c r="C31" s="51">
        <v>31027.624</v>
      </c>
      <c r="E31" s="28">
        <f t="shared" si="0"/>
        <v>895.00575375499602</v>
      </c>
      <c r="F31" s="28">
        <f t="shared" si="1"/>
        <v>895</v>
      </c>
      <c r="G31" s="28">
        <f t="shared" si="2"/>
        <v>3.515999999945052E-2</v>
      </c>
      <c r="J31" s="28">
        <f>+G31</f>
        <v>3.515999999945052E-2</v>
      </c>
      <c r="O31" s="28">
        <f t="shared" ca="1" si="3"/>
        <v>-1.2242109952981802E-2</v>
      </c>
      <c r="P31" s="28">
        <f t="shared" ca="1" si="4"/>
        <v>-0.27429261829476914</v>
      </c>
      <c r="Q31" s="50">
        <f t="shared" si="5"/>
        <v>16009.124</v>
      </c>
      <c r="R31" s="28">
        <f t="shared" si="6"/>
        <v>3.515999999945052E-2</v>
      </c>
    </row>
    <row r="32" spans="1:19" s="28" customFormat="1" ht="12.95" customHeight="1" x14ac:dyDescent="0.2">
      <c r="A32" s="51" t="s">
        <v>71</v>
      </c>
      <c r="B32" s="52" t="s">
        <v>39</v>
      </c>
      <c r="C32" s="51">
        <v>33331.353999999999</v>
      </c>
      <c r="E32" s="28">
        <f t="shared" si="0"/>
        <v>1271.9994396798318</v>
      </c>
      <c r="F32" s="28">
        <f t="shared" si="1"/>
        <v>1272</v>
      </c>
      <c r="G32" s="28">
        <f t="shared" si="2"/>
        <v>-3.4240000022691675E-3</v>
      </c>
      <c r="J32" s="28">
        <f>+G32</f>
        <v>-3.4240000022691675E-3</v>
      </c>
      <c r="O32" s="28">
        <f t="shared" ca="1" si="3"/>
        <v>-1.6959446100311644E-2</v>
      </c>
      <c r="P32" s="28">
        <f t="shared" ca="1" si="4"/>
        <v>-0.27424651379062204</v>
      </c>
      <c r="Q32" s="50">
        <f t="shared" si="5"/>
        <v>18312.853999999999</v>
      </c>
      <c r="R32" s="28">
        <f t="shared" si="6"/>
        <v>-3.4240000022691675E-3</v>
      </c>
    </row>
    <row r="33" spans="1:19" s="28" customFormat="1" ht="12.95" customHeight="1" x14ac:dyDescent="0.2">
      <c r="A33" s="51" t="s">
        <v>71</v>
      </c>
      <c r="B33" s="52" t="s">
        <v>39</v>
      </c>
      <c r="C33" s="51">
        <v>34284.597000000002</v>
      </c>
      <c r="E33" s="28">
        <f t="shared" si="0"/>
        <v>1427.9928035514874</v>
      </c>
      <c r="F33" s="28">
        <f t="shared" si="1"/>
        <v>1428</v>
      </c>
      <c r="G33" s="28">
        <f t="shared" si="2"/>
        <v>-4.3976000000839122E-2</v>
      </c>
      <c r="J33" s="28">
        <f>+G33</f>
        <v>-4.3976000000839122E-2</v>
      </c>
      <c r="O33" s="28">
        <f t="shared" ca="1" si="3"/>
        <v>-1.8911447264723991E-2</v>
      </c>
      <c r="P33" s="28">
        <f t="shared" ca="1" si="4"/>
        <v>-0.27422743606476807</v>
      </c>
      <c r="Q33" s="50">
        <f t="shared" si="5"/>
        <v>19266.097000000002</v>
      </c>
      <c r="R33" s="28">
        <f t="shared" si="6"/>
        <v>-4.3976000000839122E-2</v>
      </c>
    </row>
    <row r="34" spans="1:19" s="28" customFormat="1" ht="12.95" customHeight="1" x14ac:dyDescent="0.2">
      <c r="A34" s="51" t="s">
        <v>71</v>
      </c>
      <c r="B34" s="52" t="s">
        <v>39</v>
      </c>
      <c r="C34" s="51">
        <v>34333.46</v>
      </c>
      <c r="E34" s="28">
        <f t="shared" si="0"/>
        <v>1435.9889847338936</v>
      </c>
      <c r="F34" s="28">
        <f t="shared" si="1"/>
        <v>1436</v>
      </c>
      <c r="G34" s="28">
        <f t="shared" si="2"/>
        <v>-6.7311999999219552E-2</v>
      </c>
      <c r="J34" s="28">
        <f>+G34</f>
        <v>-6.7311999999219552E-2</v>
      </c>
      <c r="O34" s="28">
        <f t="shared" ca="1" si="3"/>
        <v>-1.9011549888540008E-2</v>
      </c>
      <c r="P34" s="28">
        <f t="shared" ca="1" si="4"/>
        <v>-0.27422645771985249</v>
      </c>
      <c r="Q34" s="50">
        <f t="shared" si="5"/>
        <v>19314.96</v>
      </c>
      <c r="R34" s="28">
        <f t="shared" si="6"/>
        <v>-6.7311999999219552E-2</v>
      </c>
    </row>
    <row r="35" spans="1:19" s="28" customFormat="1" ht="12.95" customHeight="1" x14ac:dyDescent="0.2">
      <c r="A35" s="51" t="s">
        <v>71</v>
      </c>
      <c r="B35" s="52" t="s">
        <v>39</v>
      </c>
      <c r="C35" s="51">
        <v>34663.512999999999</v>
      </c>
      <c r="E35" s="28">
        <f t="shared" si="0"/>
        <v>1490.0004778431337</v>
      </c>
      <c r="F35" s="28">
        <f t="shared" si="1"/>
        <v>1490</v>
      </c>
      <c r="G35" s="28">
        <f t="shared" si="2"/>
        <v>2.9199999989941716E-3</v>
      </c>
      <c r="J35" s="28">
        <f>+G35</f>
        <v>2.9199999989941716E-3</v>
      </c>
      <c r="O35" s="28">
        <f t="shared" ca="1" si="3"/>
        <v>-1.9687242599298129E-2</v>
      </c>
      <c r="P35" s="28">
        <f t="shared" ca="1" si="4"/>
        <v>-0.27421985389167225</v>
      </c>
      <c r="Q35" s="50">
        <f t="shared" si="5"/>
        <v>19645.012999999999</v>
      </c>
      <c r="R35" s="28">
        <f t="shared" si="6"/>
        <v>2.9199999989941716E-3</v>
      </c>
    </row>
    <row r="36" spans="1:19" s="28" customFormat="1" ht="12.95" customHeight="1" x14ac:dyDescent="0.2">
      <c r="A36" s="51" t="s">
        <v>113</v>
      </c>
      <c r="B36" s="52" t="s">
        <v>39</v>
      </c>
      <c r="C36" s="51">
        <v>45357.374000000003</v>
      </c>
      <c r="E36" s="28">
        <f t="shared" si="0"/>
        <v>3239.9963867204124</v>
      </c>
      <c r="F36" s="28">
        <f t="shared" si="1"/>
        <v>3240</v>
      </c>
      <c r="G36" s="28">
        <f t="shared" si="2"/>
        <v>-2.2079999995185062E-2</v>
      </c>
      <c r="J36" s="28">
        <f>+G36</f>
        <v>-2.2079999995185062E-2</v>
      </c>
      <c r="O36" s="28">
        <f t="shared" ca="1" si="3"/>
        <v>-4.1584691559052034E-2</v>
      </c>
      <c r="P36" s="28">
        <f t="shared" ca="1" si="4"/>
        <v>-0.27400584094138725</v>
      </c>
      <c r="Q36" s="50">
        <f t="shared" si="5"/>
        <v>30338.874000000003</v>
      </c>
      <c r="R36" s="28">
        <f t="shared" si="6"/>
        <v>-2.2079999995185062E-2</v>
      </c>
    </row>
    <row r="37" spans="1:19" s="28" customFormat="1" ht="12.95" customHeight="1" x14ac:dyDescent="0.2">
      <c r="A37" s="28" t="s">
        <v>35</v>
      </c>
      <c r="B37" s="30"/>
      <c r="C37" s="4">
        <v>45363.474000000002</v>
      </c>
      <c r="D37" s="4"/>
      <c r="E37" s="28">
        <f t="shared" si="0"/>
        <v>3240.9946206645559</v>
      </c>
      <c r="F37" s="28">
        <f t="shared" si="1"/>
        <v>3241</v>
      </c>
      <c r="G37" s="28">
        <f t="shared" si="2"/>
        <v>-3.2871999996132217E-2</v>
      </c>
      <c r="J37" s="28">
        <f>+G37</f>
        <v>-3.2871999996132217E-2</v>
      </c>
      <c r="O37" s="28">
        <f t="shared" ca="1" si="3"/>
        <v>-4.1597204387029039E-2</v>
      </c>
      <c r="P37" s="28">
        <f t="shared" ca="1" si="4"/>
        <v>-0.27400571864827278</v>
      </c>
      <c r="Q37" s="50">
        <f t="shared" si="5"/>
        <v>30344.974000000002</v>
      </c>
      <c r="R37" s="28">
        <f t="shared" si="6"/>
        <v>-3.2871999996132217E-2</v>
      </c>
    </row>
    <row r="38" spans="1:19" s="28" customFormat="1" ht="12.95" customHeight="1" x14ac:dyDescent="0.2">
      <c r="A38" s="28" t="s">
        <v>36</v>
      </c>
      <c r="B38" s="30"/>
      <c r="C38" s="4">
        <v>46457.294000000002</v>
      </c>
      <c r="D38" s="4"/>
      <c r="E38" s="28">
        <f t="shared" si="0"/>
        <v>3419.992694891268</v>
      </c>
      <c r="F38" s="28">
        <f t="shared" si="1"/>
        <v>3420</v>
      </c>
      <c r="G38" s="28">
        <f t="shared" si="2"/>
        <v>-4.4640000000072177E-2</v>
      </c>
      <c r="J38" s="28">
        <f>+G38</f>
        <v>-4.4640000000072177E-2</v>
      </c>
      <c r="O38" s="28">
        <f t="shared" ca="1" si="3"/>
        <v>-4.383700059491244E-2</v>
      </c>
      <c r="P38" s="28">
        <f t="shared" ca="1" si="4"/>
        <v>-0.27398382818078648</v>
      </c>
      <c r="Q38" s="50">
        <f t="shared" si="5"/>
        <v>31438.794000000002</v>
      </c>
      <c r="R38" s="28">
        <f t="shared" si="6"/>
        <v>-4.4640000000072177E-2</v>
      </c>
    </row>
    <row r="39" spans="1:19" s="28" customFormat="1" ht="12.95" customHeight="1" x14ac:dyDescent="0.2">
      <c r="A39" s="28" t="s">
        <v>37</v>
      </c>
      <c r="B39" s="30"/>
      <c r="C39" s="4">
        <v>49341.583200000001</v>
      </c>
      <c r="D39" s="4"/>
      <c r="E39" s="28">
        <f t="shared" si="0"/>
        <v>3891.991938197209</v>
      </c>
      <c r="F39" s="28">
        <f t="shared" si="1"/>
        <v>3892</v>
      </c>
      <c r="G39" s="28">
        <f t="shared" si="2"/>
        <v>-4.9264000001130626E-2</v>
      </c>
      <c r="I39" s="28">
        <f t="shared" ref="I39:I44" si="7">+G39</f>
        <v>-4.9264000001130626E-2</v>
      </c>
      <c r="O39" s="28">
        <f t="shared" ca="1" si="3"/>
        <v>-4.9743055400057488E-2</v>
      </c>
      <c r="P39" s="28">
        <f t="shared" ca="1" si="4"/>
        <v>-0.27392610583076676</v>
      </c>
      <c r="Q39" s="50">
        <f t="shared" si="5"/>
        <v>34323.083200000001</v>
      </c>
      <c r="R39" s="28">
        <f t="shared" si="6"/>
        <v>-4.9264000001130626E-2</v>
      </c>
    </row>
    <row r="40" spans="1:19" s="28" customFormat="1" ht="12.95" customHeight="1" x14ac:dyDescent="0.2">
      <c r="A40" s="28" t="s">
        <v>37</v>
      </c>
      <c r="B40" s="30"/>
      <c r="C40" s="4">
        <v>49353.804799999998</v>
      </c>
      <c r="D40" s="4"/>
      <c r="E40" s="28">
        <f t="shared" si="0"/>
        <v>3893.9919408155274</v>
      </c>
      <c r="F40" s="28">
        <f t="shared" si="1"/>
        <v>3894</v>
      </c>
      <c r="G40" s="28">
        <f t="shared" si="2"/>
        <v>-4.9248000002990011E-2</v>
      </c>
      <c r="I40" s="28">
        <f t="shared" si="7"/>
        <v>-4.9248000002990011E-2</v>
      </c>
      <c r="O40" s="28">
        <f t="shared" ca="1" si="3"/>
        <v>-4.9768081056011493E-2</v>
      </c>
      <c r="P40" s="28">
        <f t="shared" ca="1" si="4"/>
        <v>-0.27392586124453788</v>
      </c>
      <c r="Q40" s="50">
        <f t="shared" si="5"/>
        <v>34335.304799999998</v>
      </c>
      <c r="R40" s="28">
        <f t="shared" si="6"/>
        <v>-4.9248000002990011E-2</v>
      </c>
    </row>
    <row r="41" spans="1:19" s="28" customFormat="1" ht="12.95" customHeight="1" x14ac:dyDescent="0.2">
      <c r="A41" s="28" t="s">
        <v>40</v>
      </c>
      <c r="B41" s="30" t="s">
        <v>39</v>
      </c>
      <c r="C41" s="4">
        <v>51199.259299999998</v>
      </c>
      <c r="D41" s="4">
        <v>5.0000000000000001E-4</v>
      </c>
      <c r="E41" s="28">
        <f t="shared" si="0"/>
        <v>4195.9911743027742</v>
      </c>
      <c r="F41" s="28">
        <f t="shared" si="1"/>
        <v>4196</v>
      </c>
      <c r="G41" s="28">
        <f t="shared" si="2"/>
        <v>-5.3932000002532732E-2</v>
      </c>
      <c r="I41" s="28">
        <f t="shared" si="7"/>
        <v>-5.3932000002532732E-2</v>
      </c>
      <c r="O41" s="28">
        <f t="shared" ca="1" si="3"/>
        <v>-5.3546955105066171E-2</v>
      </c>
      <c r="P41" s="28">
        <f t="shared" ca="1" si="4"/>
        <v>-0.27388892872397441</v>
      </c>
      <c r="Q41" s="50">
        <f t="shared" si="5"/>
        <v>36180.759299999998</v>
      </c>
      <c r="R41" s="28">
        <f t="shared" si="6"/>
        <v>-5.3932000002532732E-2</v>
      </c>
    </row>
    <row r="42" spans="1:19" s="28" customFormat="1" ht="12.95" customHeight="1" x14ac:dyDescent="0.2">
      <c r="A42" s="28" t="s">
        <v>38</v>
      </c>
      <c r="B42" s="30" t="s">
        <v>39</v>
      </c>
      <c r="C42" s="4">
        <v>52323.644</v>
      </c>
      <c r="D42" s="4">
        <v>2.0000000000000001E-4</v>
      </c>
      <c r="E42" s="28">
        <f t="shared" si="0"/>
        <v>4379.9910060758084</v>
      </c>
      <c r="F42" s="28">
        <f t="shared" si="1"/>
        <v>4380</v>
      </c>
      <c r="G42" s="28">
        <f t="shared" si="2"/>
        <v>-5.4960000001301523E-2</v>
      </c>
      <c r="I42" s="28">
        <f t="shared" si="7"/>
        <v>-5.4960000001301523E-2</v>
      </c>
      <c r="O42" s="28">
        <f t="shared" ca="1" si="3"/>
        <v>-5.5849315452834579E-2</v>
      </c>
      <c r="P42" s="28">
        <f t="shared" ca="1" si="4"/>
        <v>-0.27386642679091588</v>
      </c>
      <c r="Q42" s="50">
        <f t="shared" si="5"/>
        <v>37305.144</v>
      </c>
      <c r="R42" s="28">
        <f t="shared" si="6"/>
        <v>-5.4960000001301523E-2</v>
      </c>
    </row>
    <row r="43" spans="1:19" s="28" customFormat="1" ht="12.95" customHeight="1" x14ac:dyDescent="0.2">
      <c r="A43" s="4" t="s">
        <v>41</v>
      </c>
      <c r="B43" s="5" t="s">
        <v>42</v>
      </c>
      <c r="C43" s="4">
        <v>53004.780200000001</v>
      </c>
      <c r="D43" s="53">
        <v>8.9999999999999998E-4</v>
      </c>
      <c r="E43" s="28">
        <f t="shared" si="0"/>
        <v>4491.4554774569324</v>
      </c>
      <c r="F43" s="28">
        <f t="shared" si="1"/>
        <v>4491.5</v>
      </c>
      <c r="G43" s="28">
        <f t="shared" si="2"/>
        <v>-0.27206799999839859</v>
      </c>
      <c r="I43" s="28">
        <f t="shared" si="7"/>
        <v>-0.27206799999839859</v>
      </c>
      <c r="O43" s="28">
        <f t="shared" ca="1" si="3"/>
        <v>-5.724449577227033E-2</v>
      </c>
      <c r="P43" s="28">
        <f t="shared" ca="1" si="4"/>
        <v>-0.27385279110865485</v>
      </c>
      <c r="Q43" s="50">
        <f t="shared" si="5"/>
        <v>37986.280200000001</v>
      </c>
      <c r="S43" s="28">
        <f>G43</f>
        <v>-0.27206799999839859</v>
      </c>
    </row>
    <row r="44" spans="1:19" s="28" customFormat="1" ht="12.95" customHeight="1" x14ac:dyDescent="0.2">
      <c r="A44" s="11" t="s">
        <v>52</v>
      </c>
      <c r="B44" s="12" t="s">
        <v>42</v>
      </c>
      <c r="C44" s="11">
        <v>54104.711199999998</v>
      </c>
      <c r="D44" s="11">
        <v>8.9999999999999998E-4</v>
      </c>
      <c r="E44" s="28">
        <f t="shared" si="0"/>
        <v>4671.4535857217852</v>
      </c>
      <c r="F44" s="28">
        <f t="shared" si="1"/>
        <v>4671.5</v>
      </c>
      <c r="G44" s="28">
        <f t="shared" si="2"/>
        <v>-0.28362799999740673</v>
      </c>
      <c r="I44" s="28">
        <f t="shared" si="7"/>
        <v>-0.28362799999740673</v>
      </c>
      <c r="O44" s="28">
        <f t="shared" ca="1" si="3"/>
        <v>-5.9496804808130729E-2</v>
      </c>
      <c r="P44" s="28">
        <f t="shared" ca="1" si="4"/>
        <v>-0.27383077834805408</v>
      </c>
      <c r="Q44" s="50">
        <f t="shared" si="5"/>
        <v>39086.211199999998</v>
      </c>
      <c r="S44" s="28">
        <f>G44</f>
        <v>-0.28362799999740673</v>
      </c>
    </row>
    <row r="45" spans="1:19" s="28" customFormat="1" ht="12.95" customHeight="1" x14ac:dyDescent="0.2">
      <c r="A45" s="51" t="s">
        <v>157</v>
      </c>
      <c r="B45" s="52" t="s">
        <v>39</v>
      </c>
      <c r="C45" s="51">
        <v>54114.1014</v>
      </c>
      <c r="E45" s="28">
        <f t="shared" si="0"/>
        <v>4672.9902441451122</v>
      </c>
      <c r="F45" s="28">
        <f t="shared" si="1"/>
        <v>4673</v>
      </c>
      <c r="G45" s="28">
        <f t="shared" si="2"/>
        <v>-5.96159999986412E-2</v>
      </c>
      <c r="N45" s="28">
        <f>+G45</f>
        <v>-5.96159999986412E-2</v>
      </c>
      <c r="O45" s="28">
        <f t="shared" ca="1" si="3"/>
        <v>-5.9515574050096234E-2</v>
      </c>
      <c r="P45" s="28">
        <f t="shared" ca="1" si="4"/>
        <v>-0.27383059490838241</v>
      </c>
      <c r="Q45" s="50">
        <f t="shared" si="5"/>
        <v>39095.6014</v>
      </c>
      <c r="R45" s="28">
        <f>G45</f>
        <v>-5.96159999986412E-2</v>
      </c>
    </row>
    <row r="46" spans="1:19" x14ac:dyDescent="0.2">
      <c r="A46" s="9" t="s">
        <v>43</v>
      </c>
      <c r="B46" s="10" t="s">
        <v>42</v>
      </c>
      <c r="C46" s="9">
        <v>54874.6947</v>
      </c>
      <c r="D46" s="9">
        <v>1.2999999999999999E-3</v>
      </c>
      <c r="E46">
        <f t="shared" si="0"/>
        <v>4797.4574654152848</v>
      </c>
      <c r="F46">
        <f t="shared" si="1"/>
        <v>4797.5</v>
      </c>
      <c r="G46">
        <f t="shared" si="2"/>
        <v>-0.25992000000405824</v>
      </c>
      <c r="I46">
        <f t="shared" ref="I46:I53" si="8">+G46</f>
        <v>-0.25992000000405824</v>
      </c>
      <c r="O46">
        <f t="shared" ca="1" si="3"/>
        <v>-6.1073421133233011E-2</v>
      </c>
      <c r="P46">
        <f t="shared" ca="1" si="4"/>
        <v>-0.27381536941563356</v>
      </c>
      <c r="Q46" s="1">
        <f t="shared" si="5"/>
        <v>39856.1947</v>
      </c>
      <c r="S46">
        <f>G46</f>
        <v>-0.25992000000405824</v>
      </c>
    </row>
    <row r="47" spans="1:19" x14ac:dyDescent="0.2">
      <c r="A47" s="6" t="s">
        <v>51</v>
      </c>
      <c r="B47" s="7" t="s">
        <v>39</v>
      </c>
      <c r="C47" s="8">
        <v>55152.934200000003</v>
      </c>
      <c r="D47" s="8">
        <v>6.9999999999999999E-4</v>
      </c>
      <c r="E47">
        <f t="shared" si="0"/>
        <v>4842.9899430384803</v>
      </c>
      <c r="F47">
        <f t="shared" si="1"/>
        <v>4843</v>
      </c>
      <c r="G47">
        <f t="shared" si="2"/>
        <v>-6.1455999995814636E-2</v>
      </c>
      <c r="I47">
        <f t="shared" si="8"/>
        <v>-6.1455999995814636E-2</v>
      </c>
      <c r="O47">
        <f t="shared" ca="1" si="3"/>
        <v>-6.1642754806186612E-2</v>
      </c>
      <c r="P47">
        <f t="shared" ca="1" si="4"/>
        <v>-0.27380980507892616</v>
      </c>
      <c r="Q47" s="1">
        <f t="shared" si="5"/>
        <v>40134.434200000003</v>
      </c>
      <c r="R47">
        <f t="shared" ref="R47:R52" si="9">G47</f>
        <v>-6.1455999995814636E-2</v>
      </c>
    </row>
    <row r="48" spans="1:19" x14ac:dyDescent="0.2">
      <c r="A48" s="6" t="s">
        <v>51</v>
      </c>
      <c r="B48" s="7" t="s">
        <v>39</v>
      </c>
      <c r="C48" s="8">
        <v>55482.915699999998</v>
      </c>
      <c r="D48" s="8">
        <v>1E-4</v>
      </c>
      <c r="E48">
        <f t="shared" si="0"/>
        <v>4896.9897355367357</v>
      </c>
      <c r="F48">
        <f t="shared" si="1"/>
        <v>4897</v>
      </c>
      <c r="G48">
        <f t="shared" si="2"/>
        <v>-6.2724000003072433E-2</v>
      </c>
      <c r="I48">
        <f t="shared" si="8"/>
        <v>-6.2724000003072433E-2</v>
      </c>
      <c r="O48">
        <f t="shared" ca="1" si="3"/>
        <v>-6.2318447516944736E-2</v>
      </c>
      <c r="P48">
        <f t="shared" ca="1" si="4"/>
        <v>-0.27380320125074592</v>
      </c>
      <c r="Q48" s="1">
        <f t="shared" si="5"/>
        <v>40464.415699999998</v>
      </c>
      <c r="R48">
        <f t="shared" si="9"/>
        <v>-6.2724000003072433E-2</v>
      </c>
    </row>
    <row r="49" spans="1:19" x14ac:dyDescent="0.2">
      <c r="A49" s="6" t="s">
        <v>51</v>
      </c>
      <c r="B49" s="7" t="s">
        <v>39</v>
      </c>
      <c r="C49" s="8">
        <v>55531.8024</v>
      </c>
      <c r="D49" s="8">
        <v>1E-4</v>
      </c>
      <c r="E49">
        <f t="shared" si="0"/>
        <v>4904.9897951034827</v>
      </c>
      <c r="F49">
        <f t="shared" si="1"/>
        <v>4905</v>
      </c>
      <c r="G49">
        <f t="shared" si="2"/>
        <v>-6.235999999626074E-2</v>
      </c>
      <c r="I49">
        <f t="shared" si="8"/>
        <v>-6.235999999626074E-2</v>
      </c>
      <c r="O49">
        <f t="shared" ca="1" si="3"/>
        <v>-6.2418550140760753E-2</v>
      </c>
      <c r="P49">
        <f t="shared" ca="1" si="4"/>
        <v>-0.27380222290583034</v>
      </c>
      <c r="Q49" s="1">
        <f t="shared" si="5"/>
        <v>40513.3024</v>
      </c>
      <c r="R49">
        <f t="shared" si="9"/>
        <v>-6.235999999626074E-2</v>
      </c>
    </row>
    <row r="50" spans="1:19" x14ac:dyDescent="0.2">
      <c r="A50" s="6" t="s">
        <v>51</v>
      </c>
      <c r="B50" s="7" t="s">
        <v>39</v>
      </c>
      <c r="C50" s="8">
        <v>55531.8024</v>
      </c>
      <c r="D50" s="8">
        <v>2.0000000000000001E-4</v>
      </c>
      <c r="E50">
        <f t="shared" si="0"/>
        <v>4904.9897951034827</v>
      </c>
      <c r="F50">
        <f t="shared" si="1"/>
        <v>4905</v>
      </c>
      <c r="G50">
        <f t="shared" si="2"/>
        <v>-6.235999999626074E-2</v>
      </c>
      <c r="I50">
        <f t="shared" si="8"/>
        <v>-6.235999999626074E-2</v>
      </c>
      <c r="O50">
        <f t="shared" ca="1" si="3"/>
        <v>-6.2418550140760753E-2</v>
      </c>
      <c r="P50">
        <f t="shared" ca="1" si="4"/>
        <v>-0.27380222290583034</v>
      </c>
      <c r="Q50" s="1">
        <f t="shared" si="5"/>
        <v>40513.3024</v>
      </c>
      <c r="R50">
        <f t="shared" si="9"/>
        <v>-6.235999999626074E-2</v>
      </c>
    </row>
    <row r="51" spans="1:19" x14ac:dyDescent="0.2">
      <c r="A51" s="6" t="s">
        <v>51</v>
      </c>
      <c r="B51" s="7" t="s">
        <v>39</v>
      </c>
      <c r="C51" s="8">
        <v>55537.912900000003</v>
      </c>
      <c r="D51" s="8">
        <v>2.0000000000000001E-4</v>
      </c>
      <c r="E51">
        <f t="shared" si="0"/>
        <v>4905.9897473191695</v>
      </c>
      <c r="F51">
        <f t="shared" si="1"/>
        <v>4906</v>
      </c>
      <c r="G51">
        <f t="shared" si="2"/>
        <v>-6.2652000000525732E-2</v>
      </c>
      <c r="I51">
        <f t="shared" si="8"/>
        <v>-6.2652000000525732E-2</v>
      </c>
      <c r="O51">
        <f t="shared" ca="1" si="3"/>
        <v>-6.2431062968737752E-2</v>
      </c>
      <c r="P51">
        <f t="shared" ca="1" si="4"/>
        <v>-0.27380210061271593</v>
      </c>
      <c r="Q51" s="1">
        <f t="shared" si="5"/>
        <v>40519.412900000003</v>
      </c>
      <c r="R51">
        <f t="shared" si="9"/>
        <v>-6.2652000000525732E-2</v>
      </c>
    </row>
    <row r="52" spans="1:19" x14ac:dyDescent="0.2">
      <c r="A52" s="6" t="s">
        <v>51</v>
      </c>
      <c r="B52" s="7" t="s">
        <v>39</v>
      </c>
      <c r="C52" s="8">
        <v>55580.688300000002</v>
      </c>
      <c r="D52" s="8">
        <v>2.0000000000000001E-4</v>
      </c>
      <c r="E52">
        <f t="shared" si="0"/>
        <v>4912.9897237543028</v>
      </c>
      <c r="F52">
        <f t="shared" si="1"/>
        <v>4913</v>
      </c>
      <c r="G52">
        <f t="shared" si="2"/>
        <v>-6.2795999998343177E-2</v>
      </c>
      <c r="I52">
        <f t="shared" si="8"/>
        <v>-6.2795999998343177E-2</v>
      </c>
      <c r="O52">
        <f t="shared" ca="1" si="3"/>
        <v>-6.2518652764576771E-2</v>
      </c>
      <c r="P52">
        <f t="shared" ca="1" si="4"/>
        <v>-0.27380124456091476</v>
      </c>
      <c r="Q52" s="1">
        <f t="shared" si="5"/>
        <v>40562.188300000002</v>
      </c>
      <c r="R52">
        <f t="shared" si="9"/>
        <v>-6.2795999998343177E-2</v>
      </c>
    </row>
    <row r="53" spans="1:19" x14ac:dyDescent="0.2">
      <c r="A53" s="11" t="s">
        <v>53</v>
      </c>
      <c r="B53" s="12" t="s">
        <v>42</v>
      </c>
      <c r="C53" s="11">
        <v>55589.637600000002</v>
      </c>
      <c r="D53" s="11">
        <v>1.2999999999999999E-3</v>
      </c>
      <c r="E53">
        <f t="shared" si="0"/>
        <v>4914.4542311373061</v>
      </c>
      <c r="F53">
        <f t="shared" si="1"/>
        <v>4914.5</v>
      </c>
      <c r="G53">
        <f t="shared" si="2"/>
        <v>-0.27968399999372195</v>
      </c>
      <c r="I53">
        <f t="shared" si="8"/>
        <v>-0.27968399999372195</v>
      </c>
      <c r="O53">
        <f t="shared" ca="1" si="3"/>
        <v>-6.2537422006542276E-2</v>
      </c>
      <c r="P53">
        <f t="shared" ca="1" si="4"/>
        <v>-0.27380106112124308</v>
      </c>
      <c r="Q53" s="1">
        <f t="shared" si="5"/>
        <v>40571.137600000002</v>
      </c>
      <c r="S53">
        <f>G53</f>
        <v>-0.27968399999372195</v>
      </c>
    </row>
    <row r="54" spans="1:19" x14ac:dyDescent="0.2">
      <c r="B54" s="3"/>
    </row>
    <row r="55" spans="1:19" x14ac:dyDescent="0.2">
      <c r="B55" s="3"/>
    </row>
    <row r="56" spans="1:19" x14ac:dyDescent="0.2">
      <c r="B56" s="3"/>
    </row>
    <row r="57" spans="1:19" x14ac:dyDescent="0.2">
      <c r="B57" s="3"/>
    </row>
    <row r="58" spans="1:19" x14ac:dyDescent="0.2">
      <c r="B58" s="3"/>
    </row>
    <row r="59" spans="1:19" x14ac:dyDescent="0.2">
      <c r="B59" s="3"/>
    </row>
    <row r="60" spans="1:19" x14ac:dyDescent="0.2">
      <c r="B60" s="3"/>
    </row>
    <row r="61" spans="1:19" x14ac:dyDescent="0.2">
      <c r="B61" s="3"/>
    </row>
    <row r="62" spans="1:19" x14ac:dyDescent="0.2">
      <c r="B62" s="3"/>
    </row>
    <row r="63" spans="1:19" x14ac:dyDescent="0.2">
      <c r="B63" s="3"/>
    </row>
    <row r="64" spans="1:19" x14ac:dyDescent="0.2">
      <c r="B64" s="3"/>
    </row>
    <row r="65" spans="2:2" x14ac:dyDescent="0.2">
      <c r="B65" s="3"/>
    </row>
    <row r="66" spans="2:2" x14ac:dyDescent="0.2">
      <c r="B66" s="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4"/>
  <sheetViews>
    <sheetView workbookViewId="0">
      <selection activeCell="A26" sqref="A26:C41"/>
    </sheetView>
  </sheetViews>
  <sheetFormatPr defaultRowHeight="12.75" x14ac:dyDescent="0.2"/>
  <cols>
    <col min="1" max="1" width="19.7109375" style="14" customWidth="1"/>
    <col min="2" max="2" width="4.42578125" style="2" customWidth="1"/>
    <col min="3" max="3" width="12.7109375" style="14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14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13" t="s">
        <v>54</v>
      </c>
      <c r="I1" s="15" t="s">
        <v>55</v>
      </c>
      <c r="J1" s="16" t="s">
        <v>56</v>
      </c>
    </row>
    <row r="2" spans="1:16" x14ac:dyDescent="0.2">
      <c r="I2" s="17" t="s">
        <v>57</v>
      </c>
      <c r="J2" s="18" t="s">
        <v>58</v>
      </c>
    </row>
    <row r="3" spans="1:16" x14ac:dyDescent="0.2">
      <c r="A3" s="19" t="s">
        <v>59</v>
      </c>
      <c r="I3" s="17" t="s">
        <v>60</v>
      </c>
      <c r="J3" s="18" t="s">
        <v>61</v>
      </c>
    </row>
    <row r="4" spans="1:16" x14ac:dyDescent="0.2">
      <c r="I4" s="17" t="s">
        <v>62</v>
      </c>
      <c r="J4" s="18" t="s">
        <v>61</v>
      </c>
    </row>
    <row r="5" spans="1:16" ht="13.5" thickBot="1" x14ac:dyDescent="0.25">
      <c r="I5" s="20" t="s">
        <v>63</v>
      </c>
      <c r="J5" s="21" t="s">
        <v>64</v>
      </c>
    </row>
    <row r="10" spans="1:16" ht="13.5" thickBot="1" x14ac:dyDescent="0.25"/>
    <row r="11" spans="1:16" ht="12.75" customHeight="1" thickBot="1" x14ac:dyDescent="0.25">
      <c r="A11" s="14" t="str">
        <f t="shared" ref="A11:A41" si="0">P11</f>
        <v> VSSC 60.22 </v>
      </c>
      <c r="B11" s="3" t="str">
        <f t="shared" ref="B11:B41" si="1">IF(H11=INT(H11),"I","II")</f>
        <v>I</v>
      </c>
      <c r="C11" s="14">
        <f t="shared" ref="C11:C41" si="2">1*G11</f>
        <v>45363.474000000002</v>
      </c>
      <c r="D11" s="2" t="str">
        <f t="shared" ref="D11:D41" si="3">VLOOKUP(F11,I$1:J$5,2,FALSE)</f>
        <v>vis</v>
      </c>
      <c r="E11" s="22">
        <f>VLOOKUP(C11,'Active 1'!C$21:E$973,3,FALSE)</f>
        <v>3240.9946206645559</v>
      </c>
      <c r="F11" s="3" t="s">
        <v>63</v>
      </c>
      <c r="G11" s="2" t="str">
        <f t="shared" ref="G11:G41" si="4">MID(I11,3,LEN(I11)-3)</f>
        <v>45363.474</v>
      </c>
      <c r="H11" s="14">
        <f t="shared" ref="H11:H41" si="5">1*K11</f>
        <v>3241</v>
      </c>
      <c r="I11" s="23" t="s">
        <v>114</v>
      </c>
      <c r="J11" s="24" t="s">
        <v>115</v>
      </c>
      <c r="K11" s="23">
        <v>3241</v>
      </c>
      <c r="L11" s="23" t="s">
        <v>116</v>
      </c>
      <c r="M11" s="24" t="s">
        <v>111</v>
      </c>
      <c r="N11" s="24"/>
      <c r="O11" s="25" t="s">
        <v>112</v>
      </c>
      <c r="P11" s="25" t="s">
        <v>113</v>
      </c>
    </row>
    <row r="12" spans="1:16" ht="12.75" customHeight="1" thickBot="1" x14ac:dyDescent="0.25">
      <c r="A12" s="14" t="str">
        <f t="shared" si="0"/>
        <v> VSSC 67.11 </v>
      </c>
      <c r="B12" s="3" t="str">
        <f t="shared" si="1"/>
        <v>I</v>
      </c>
      <c r="C12" s="14">
        <f t="shared" si="2"/>
        <v>46457.294000000002</v>
      </c>
      <c r="D12" s="2" t="str">
        <f t="shared" si="3"/>
        <v>vis</v>
      </c>
      <c r="E12" s="22">
        <f>VLOOKUP(C12,'Active 1'!C$21:E$973,3,FALSE)</f>
        <v>3419.992694891268</v>
      </c>
      <c r="F12" s="3" t="s">
        <v>63</v>
      </c>
      <c r="G12" s="2" t="str">
        <f t="shared" si="4"/>
        <v>46457.294</v>
      </c>
      <c r="H12" s="14">
        <f t="shared" si="5"/>
        <v>3420</v>
      </c>
      <c r="I12" s="23" t="s">
        <v>117</v>
      </c>
      <c r="J12" s="24" t="s">
        <v>118</v>
      </c>
      <c r="K12" s="23">
        <v>3420</v>
      </c>
      <c r="L12" s="23" t="s">
        <v>119</v>
      </c>
      <c r="M12" s="24" t="s">
        <v>111</v>
      </c>
      <c r="N12" s="24"/>
      <c r="O12" s="25" t="s">
        <v>112</v>
      </c>
      <c r="P12" s="25" t="s">
        <v>120</v>
      </c>
    </row>
    <row r="13" spans="1:16" ht="12.75" customHeight="1" thickBot="1" x14ac:dyDescent="0.25">
      <c r="A13" s="14" t="str">
        <f t="shared" si="0"/>
        <v>IBVS 4009 </v>
      </c>
      <c r="B13" s="3" t="str">
        <f t="shared" si="1"/>
        <v>I</v>
      </c>
      <c r="C13" s="14">
        <f t="shared" si="2"/>
        <v>49341.583200000001</v>
      </c>
      <c r="D13" s="2" t="str">
        <f t="shared" si="3"/>
        <v>vis</v>
      </c>
      <c r="E13" s="22">
        <f>VLOOKUP(C13,'Active 1'!C$21:E$973,3,FALSE)</f>
        <v>3891.991938197209</v>
      </c>
      <c r="F13" s="3" t="s">
        <v>63</v>
      </c>
      <c r="G13" s="2" t="str">
        <f t="shared" si="4"/>
        <v>49341.5832</v>
      </c>
      <c r="H13" s="14">
        <f t="shared" si="5"/>
        <v>3892</v>
      </c>
      <c r="I13" s="23" t="s">
        <v>121</v>
      </c>
      <c r="J13" s="24" t="s">
        <v>122</v>
      </c>
      <c r="K13" s="23">
        <v>3892</v>
      </c>
      <c r="L13" s="23" t="s">
        <v>123</v>
      </c>
      <c r="M13" s="24" t="s">
        <v>124</v>
      </c>
      <c r="N13" s="24" t="s">
        <v>125</v>
      </c>
      <c r="O13" s="25" t="s">
        <v>126</v>
      </c>
      <c r="P13" s="26" t="s">
        <v>127</v>
      </c>
    </row>
    <row r="14" spans="1:16" ht="12.75" customHeight="1" thickBot="1" x14ac:dyDescent="0.25">
      <c r="A14" s="14" t="str">
        <f t="shared" si="0"/>
        <v>IBVS 4009 </v>
      </c>
      <c r="B14" s="3" t="str">
        <f t="shared" si="1"/>
        <v>I</v>
      </c>
      <c r="C14" s="14">
        <f t="shared" si="2"/>
        <v>49353.804799999998</v>
      </c>
      <c r="D14" s="2" t="str">
        <f t="shared" si="3"/>
        <v>vis</v>
      </c>
      <c r="E14" s="22">
        <f>VLOOKUP(C14,'Active 1'!C$21:E$973,3,FALSE)</f>
        <v>3893.9919408155274</v>
      </c>
      <c r="F14" s="3" t="s">
        <v>63</v>
      </c>
      <c r="G14" s="2" t="str">
        <f t="shared" si="4"/>
        <v>49353.8048</v>
      </c>
      <c r="H14" s="14">
        <f t="shared" si="5"/>
        <v>3894</v>
      </c>
      <c r="I14" s="23" t="s">
        <v>128</v>
      </c>
      <c r="J14" s="24" t="s">
        <v>129</v>
      </c>
      <c r="K14" s="23">
        <v>3894</v>
      </c>
      <c r="L14" s="23" t="s">
        <v>130</v>
      </c>
      <c r="M14" s="24" t="s">
        <v>124</v>
      </c>
      <c r="N14" s="24" t="s">
        <v>125</v>
      </c>
      <c r="O14" s="25" t="s">
        <v>126</v>
      </c>
      <c r="P14" s="26" t="s">
        <v>127</v>
      </c>
    </row>
    <row r="15" spans="1:16" ht="12.75" customHeight="1" thickBot="1" x14ac:dyDescent="0.25">
      <c r="A15" s="14" t="str">
        <f t="shared" si="0"/>
        <v>IBVS 4737 </v>
      </c>
      <c r="B15" s="3" t="str">
        <f t="shared" si="1"/>
        <v>I</v>
      </c>
      <c r="C15" s="14">
        <f t="shared" si="2"/>
        <v>51199.259299999998</v>
      </c>
      <c r="D15" s="2" t="str">
        <f t="shared" si="3"/>
        <v>vis</v>
      </c>
      <c r="E15" s="22">
        <f>VLOOKUP(C15,'Active 1'!C$21:E$973,3,FALSE)</f>
        <v>4195.9911743027742</v>
      </c>
      <c r="F15" s="3" t="s">
        <v>63</v>
      </c>
      <c r="G15" s="2" t="str">
        <f t="shared" si="4"/>
        <v>51199.2593</v>
      </c>
      <c r="H15" s="14">
        <f t="shared" si="5"/>
        <v>4196</v>
      </c>
      <c r="I15" s="23" t="s">
        <v>131</v>
      </c>
      <c r="J15" s="24" t="s">
        <v>132</v>
      </c>
      <c r="K15" s="23">
        <v>4196</v>
      </c>
      <c r="L15" s="23" t="s">
        <v>133</v>
      </c>
      <c r="M15" s="24" t="s">
        <v>124</v>
      </c>
      <c r="N15" s="24" t="s">
        <v>125</v>
      </c>
      <c r="O15" s="25" t="s">
        <v>134</v>
      </c>
      <c r="P15" s="26" t="s">
        <v>135</v>
      </c>
    </row>
    <row r="16" spans="1:16" ht="12.75" customHeight="1" thickBot="1" x14ac:dyDescent="0.25">
      <c r="A16" s="14" t="str">
        <f t="shared" si="0"/>
        <v>IBVS 5357 </v>
      </c>
      <c r="B16" s="3" t="str">
        <f t="shared" si="1"/>
        <v>I</v>
      </c>
      <c r="C16" s="14">
        <f t="shared" si="2"/>
        <v>52323.644</v>
      </c>
      <c r="D16" s="2" t="str">
        <f t="shared" si="3"/>
        <v>vis</v>
      </c>
      <c r="E16" s="22">
        <f>VLOOKUP(C16,'Active 1'!C$21:E$973,3,FALSE)</f>
        <v>4379.9910060758084</v>
      </c>
      <c r="F16" s="3" t="s">
        <v>63</v>
      </c>
      <c r="G16" s="2" t="str">
        <f t="shared" si="4"/>
        <v>52323.6440</v>
      </c>
      <c r="H16" s="14">
        <f t="shared" si="5"/>
        <v>4380</v>
      </c>
      <c r="I16" s="23" t="s">
        <v>136</v>
      </c>
      <c r="J16" s="24" t="s">
        <v>137</v>
      </c>
      <c r="K16" s="23">
        <v>4380</v>
      </c>
      <c r="L16" s="23" t="s">
        <v>138</v>
      </c>
      <c r="M16" s="24" t="s">
        <v>124</v>
      </c>
      <c r="N16" s="24" t="s">
        <v>139</v>
      </c>
      <c r="O16" s="25" t="s">
        <v>140</v>
      </c>
      <c r="P16" s="26" t="s">
        <v>141</v>
      </c>
    </row>
    <row r="17" spans="1:16" ht="12.75" customHeight="1" thickBot="1" x14ac:dyDescent="0.25">
      <c r="A17" s="14" t="str">
        <f t="shared" si="0"/>
        <v>IBVS 5577 </v>
      </c>
      <c r="B17" s="3" t="str">
        <f t="shared" si="1"/>
        <v>II</v>
      </c>
      <c r="C17" s="14">
        <f t="shared" si="2"/>
        <v>53004.780200000001</v>
      </c>
      <c r="D17" s="2" t="str">
        <f t="shared" si="3"/>
        <v>vis</v>
      </c>
      <c r="E17" s="22">
        <f>VLOOKUP(C17,'Active 1'!C$21:E$973,3,FALSE)</f>
        <v>4491.4554774569324</v>
      </c>
      <c r="F17" s="3" t="s">
        <v>63</v>
      </c>
      <c r="G17" s="2" t="str">
        <f t="shared" si="4"/>
        <v>53004.7802</v>
      </c>
      <c r="H17" s="14">
        <f t="shared" si="5"/>
        <v>4491.5</v>
      </c>
      <c r="I17" s="23" t="s">
        <v>142</v>
      </c>
      <c r="J17" s="24" t="s">
        <v>143</v>
      </c>
      <c r="K17" s="23">
        <v>4491.5</v>
      </c>
      <c r="L17" s="23" t="s">
        <v>144</v>
      </c>
      <c r="M17" s="24" t="s">
        <v>124</v>
      </c>
      <c r="N17" s="24" t="s">
        <v>125</v>
      </c>
      <c r="O17" s="25" t="s">
        <v>140</v>
      </c>
      <c r="P17" s="26" t="s">
        <v>145</v>
      </c>
    </row>
    <row r="18" spans="1:16" ht="12.75" customHeight="1" thickBot="1" x14ac:dyDescent="0.25">
      <c r="A18" s="14" t="str">
        <f t="shared" si="0"/>
        <v>IBVS 5764 </v>
      </c>
      <c r="B18" s="3" t="str">
        <f t="shared" si="1"/>
        <v>II</v>
      </c>
      <c r="C18" s="14">
        <f t="shared" si="2"/>
        <v>54104.711199999998</v>
      </c>
      <c r="D18" s="2" t="str">
        <f t="shared" si="3"/>
        <v>vis</v>
      </c>
      <c r="E18" s="22">
        <f>VLOOKUP(C18,'Active 1'!C$21:E$973,3,FALSE)</f>
        <v>4671.4535857217852</v>
      </c>
      <c r="F18" s="3" t="s">
        <v>63</v>
      </c>
      <c r="G18" s="2" t="str">
        <f t="shared" si="4"/>
        <v>54104.7112</v>
      </c>
      <c r="H18" s="14">
        <f t="shared" si="5"/>
        <v>4671.5</v>
      </c>
      <c r="I18" s="23" t="s">
        <v>146</v>
      </c>
      <c r="J18" s="24" t="s">
        <v>147</v>
      </c>
      <c r="K18" s="23">
        <v>4671.5</v>
      </c>
      <c r="L18" s="23" t="s">
        <v>148</v>
      </c>
      <c r="M18" s="24" t="s">
        <v>149</v>
      </c>
      <c r="N18" s="24" t="s">
        <v>63</v>
      </c>
      <c r="O18" s="25" t="s">
        <v>150</v>
      </c>
      <c r="P18" s="26" t="s">
        <v>151</v>
      </c>
    </row>
    <row r="19" spans="1:16" ht="12.75" customHeight="1" thickBot="1" x14ac:dyDescent="0.25">
      <c r="A19" s="14" t="str">
        <f t="shared" si="0"/>
        <v>IBVS 5894 </v>
      </c>
      <c r="B19" s="3" t="str">
        <f t="shared" si="1"/>
        <v>II</v>
      </c>
      <c r="C19" s="14">
        <f t="shared" si="2"/>
        <v>54874.6947</v>
      </c>
      <c r="D19" s="2" t="str">
        <f t="shared" si="3"/>
        <v>vis</v>
      </c>
      <c r="E19" s="22">
        <f>VLOOKUP(C19,'Active 1'!C$21:E$973,3,FALSE)</f>
        <v>4797.4574654152848</v>
      </c>
      <c r="F19" s="3" t="s">
        <v>63</v>
      </c>
      <c r="G19" s="2" t="str">
        <f t="shared" si="4"/>
        <v>54874.6947</v>
      </c>
      <c r="H19" s="14">
        <f t="shared" si="5"/>
        <v>4797.5</v>
      </c>
      <c r="I19" s="23" t="s">
        <v>158</v>
      </c>
      <c r="J19" s="24" t="s">
        <v>159</v>
      </c>
      <c r="K19" s="23">
        <v>4797.5</v>
      </c>
      <c r="L19" s="23" t="s">
        <v>160</v>
      </c>
      <c r="M19" s="24" t="s">
        <v>149</v>
      </c>
      <c r="N19" s="24" t="s">
        <v>63</v>
      </c>
      <c r="O19" s="25" t="s">
        <v>161</v>
      </c>
      <c r="P19" s="26" t="s">
        <v>162</v>
      </c>
    </row>
    <row r="20" spans="1:16" ht="12.75" customHeight="1" thickBot="1" x14ac:dyDescent="0.25">
      <c r="A20" s="14" t="str">
        <f t="shared" si="0"/>
        <v>IBVS 5972 </v>
      </c>
      <c r="B20" s="3" t="str">
        <f t="shared" si="1"/>
        <v>I</v>
      </c>
      <c r="C20" s="14">
        <f t="shared" si="2"/>
        <v>55152.934200000003</v>
      </c>
      <c r="D20" s="2" t="str">
        <f t="shared" si="3"/>
        <v>vis</v>
      </c>
      <c r="E20" s="22">
        <f>VLOOKUP(C20,'Active 1'!C$21:E$973,3,FALSE)</f>
        <v>4842.9899430384803</v>
      </c>
      <c r="F20" s="3" t="s">
        <v>63</v>
      </c>
      <c r="G20" s="2" t="str">
        <f t="shared" si="4"/>
        <v>55152.9342</v>
      </c>
      <c r="H20" s="14">
        <f t="shared" si="5"/>
        <v>4843</v>
      </c>
      <c r="I20" s="23" t="s">
        <v>163</v>
      </c>
      <c r="J20" s="24" t="s">
        <v>164</v>
      </c>
      <c r="K20" s="23">
        <v>4843</v>
      </c>
      <c r="L20" s="23" t="s">
        <v>165</v>
      </c>
      <c r="M20" s="24" t="s">
        <v>149</v>
      </c>
      <c r="N20" s="24" t="s">
        <v>63</v>
      </c>
      <c r="O20" s="25" t="s">
        <v>140</v>
      </c>
      <c r="P20" s="26" t="s">
        <v>166</v>
      </c>
    </row>
    <row r="21" spans="1:16" ht="12.75" customHeight="1" thickBot="1" x14ac:dyDescent="0.25">
      <c r="A21" s="14" t="str">
        <f t="shared" si="0"/>
        <v>IBVS 5972 </v>
      </c>
      <c r="B21" s="3" t="str">
        <f t="shared" si="1"/>
        <v>I</v>
      </c>
      <c r="C21" s="14">
        <f t="shared" si="2"/>
        <v>55482.915699999998</v>
      </c>
      <c r="D21" s="2" t="str">
        <f t="shared" si="3"/>
        <v>vis</v>
      </c>
      <c r="E21" s="22">
        <f>VLOOKUP(C21,'Active 1'!C$21:E$973,3,FALSE)</f>
        <v>4896.9897355367357</v>
      </c>
      <c r="F21" s="3" t="s">
        <v>63</v>
      </c>
      <c r="G21" s="2" t="str">
        <f t="shared" si="4"/>
        <v>55482.9157</v>
      </c>
      <c r="H21" s="14">
        <f t="shared" si="5"/>
        <v>4897</v>
      </c>
      <c r="I21" s="23" t="s">
        <v>167</v>
      </c>
      <c r="J21" s="24" t="s">
        <v>168</v>
      </c>
      <c r="K21" s="23">
        <v>4897</v>
      </c>
      <c r="L21" s="23" t="s">
        <v>169</v>
      </c>
      <c r="M21" s="24" t="s">
        <v>149</v>
      </c>
      <c r="N21" s="24" t="s">
        <v>63</v>
      </c>
      <c r="O21" s="25" t="s">
        <v>140</v>
      </c>
      <c r="P21" s="26" t="s">
        <v>166</v>
      </c>
    </row>
    <row r="22" spans="1:16" ht="12.75" customHeight="1" thickBot="1" x14ac:dyDescent="0.25">
      <c r="A22" s="14" t="str">
        <f t="shared" si="0"/>
        <v>IBVS 5972 </v>
      </c>
      <c r="B22" s="3" t="str">
        <f t="shared" si="1"/>
        <v>I</v>
      </c>
      <c r="C22" s="14">
        <f t="shared" si="2"/>
        <v>55531.8024</v>
      </c>
      <c r="D22" s="2" t="str">
        <f t="shared" si="3"/>
        <v>vis</v>
      </c>
      <c r="E22" s="22">
        <f>VLOOKUP(C22,'Active 1'!C$21:E$973,3,FALSE)</f>
        <v>4904.9897951034827</v>
      </c>
      <c r="F22" s="3" t="s">
        <v>63</v>
      </c>
      <c r="G22" s="2" t="str">
        <f t="shared" si="4"/>
        <v>55531.8024</v>
      </c>
      <c r="H22" s="14">
        <f t="shared" si="5"/>
        <v>4905</v>
      </c>
      <c r="I22" s="23" t="s">
        <v>170</v>
      </c>
      <c r="J22" s="24" t="s">
        <v>171</v>
      </c>
      <c r="K22" s="23">
        <v>4905</v>
      </c>
      <c r="L22" s="23" t="s">
        <v>172</v>
      </c>
      <c r="M22" s="24" t="s">
        <v>149</v>
      </c>
      <c r="N22" s="24" t="s">
        <v>63</v>
      </c>
      <c r="O22" s="25" t="s">
        <v>140</v>
      </c>
      <c r="P22" s="26" t="s">
        <v>166</v>
      </c>
    </row>
    <row r="23" spans="1:16" ht="12.75" customHeight="1" thickBot="1" x14ac:dyDescent="0.25">
      <c r="A23" s="14" t="str">
        <f t="shared" si="0"/>
        <v>IBVS 5972 </v>
      </c>
      <c r="B23" s="3" t="str">
        <f t="shared" si="1"/>
        <v>I</v>
      </c>
      <c r="C23" s="14">
        <f t="shared" si="2"/>
        <v>55537.912900000003</v>
      </c>
      <c r="D23" s="2" t="str">
        <f t="shared" si="3"/>
        <v>vis</v>
      </c>
      <c r="E23" s="22">
        <f>VLOOKUP(C23,'Active 1'!C$21:E$973,3,FALSE)</f>
        <v>4905.9897473191695</v>
      </c>
      <c r="F23" s="3" t="s">
        <v>63</v>
      </c>
      <c r="G23" s="2" t="str">
        <f t="shared" si="4"/>
        <v>55537.9129</v>
      </c>
      <c r="H23" s="14">
        <f t="shared" si="5"/>
        <v>4906</v>
      </c>
      <c r="I23" s="23" t="s">
        <v>173</v>
      </c>
      <c r="J23" s="24" t="s">
        <v>174</v>
      </c>
      <c r="K23" s="23">
        <v>4906</v>
      </c>
      <c r="L23" s="23" t="s">
        <v>169</v>
      </c>
      <c r="M23" s="24" t="s">
        <v>149</v>
      </c>
      <c r="N23" s="24" t="s">
        <v>63</v>
      </c>
      <c r="O23" s="25" t="s">
        <v>140</v>
      </c>
      <c r="P23" s="26" t="s">
        <v>166</v>
      </c>
    </row>
    <row r="24" spans="1:16" ht="12.75" customHeight="1" thickBot="1" x14ac:dyDescent="0.25">
      <c r="A24" s="14" t="str">
        <f t="shared" si="0"/>
        <v>IBVS 5972 </v>
      </c>
      <c r="B24" s="3" t="str">
        <f t="shared" si="1"/>
        <v>I</v>
      </c>
      <c r="C24" s="14">
        <f t="shared" si="2"/>
        <v>55580.688300000002</v>
      </c>
      <c r="D24" s="2" t="str">
        <f t="shared" si="3"/>
        <v>vis</v>
      </c>
      <c r="E24" s="22">
        <f>VLOOKUP(C24,'Active 1'!C$21:E$973,3,FALSE)</f>
        <v>4912.9897237543028</v>
      </c>
      <c r="F24" s="3" t="s">
        <v>63</v>
      </c>
      <c r="G24" s="2" t="str">
        <f t="shared" si="4"/>
        <v>55580.6883</v>
      </c>
      <c r="H24" s="14">
        <f t="shared" si="5"/>
        <v>4913</v>
      </c>
      <c r="I24" s="23" t="s">
        <v>175</v>
      </c>
      <c r="J24" s="24" t="s">
        <v>176</v>
      </c>
      <c r="K24" s="23">
        <v>4913</v>
      </c>
      <c r="L24" s="23" t="s">
        <v>177</v>
      </c>
      <c r="M24" s="24" t="s">
        <v>149</v>
      </c>
      <c r="N24" s="24" t="s">
        <v>63</v>
      </c>
      <c r="O24" s="25" t="s">
        <v>140</v>
      </c>
      <c r="P24" s="26" t="s">
        <v>166</v>
      </c>
    </row>
    <row r="25" spans="1:16" ht="12.75" customHeight="1" thickBot="1" x14ac:dyDescent="0.25">
      <c r="A25" s="14" t="str">
        <f t="shared" si="0"/>
        <v>IBVS 5992 </v>
      </c>
      <c r="B25" s="3" t="str">
        <f t="shared" si="1"/>
        <v>II</v>
      </c>
      <c r="C25" s="14">
        <f t="shared" si="2"/>
        <v>55589.637600000002</v>
      </c>
      <c r="D25" s="2" t="str">
        <f t="shared" si="3"/>
        <v>vis</v>
      </c>
      <c r="E25" s="22">
        <f>VLOOKUP(C25,'Active 1'!C$21:E$973,3,FALSE)</f>
        <v>4914.4542311373061</v>
      </c>
      <c r="F25" s="3" t="s">
        <v>63</v>
      </c>
      <c r="G25" s="2" t="str">
        <f t="shared" si="4"/>
        <v>55589.6376</v>
      </c>
      <c r="H25" s="14">
        <f t="shared" si="5"/>
        <v>4914.5</v>
      </c>
      <c r="I25" s="23" t="s">
        <v>178</v>
      </c>
      <c r="J25" s="24" t="s">
        <v>179</v>
      </c>
      <c r="K25" s="23">
        <v>4914.5</v>
      </c>
      <c r="L25" s="23" t="s">
        <v>180</v>
      </c>
      <c r="M25" s="24" t="s">
        <v>149</v>
      </c>
      <c r="N25" s="24" t="s">
        <v>63</v>
      </c>
      <c r="O25" s="25" t="s">
        <v>161</v>
      </c>
      <c r="P25" s="26" t="s">
        <v>181</v>
      </c>
    </row>
    <row r="26" spans="1:16" ht="12.75" customHeight="1" thickBot="1" x14ac:dyDescent="0.25">
      <c r="A26" s="14" t="str">
        <f t="shared" si="0"/>
        <v> VB 5.3 </v>
      </c>
      <c r="B26" s="3" t="str">
        <f t="shared" si="1"/>
        <v>I</v>
      </c>
      <c r="C26" s="14">
        <f t="shared" si="2"/>
        <v>25558.455999999998</v>
      </c>
      <c r="D26" s="2" t="str">
        <f t="shared" si="3"/>
        <v>vis</v>
      </c>
      <c r="E26" s="22">
        <f>VLOOKUP(C26,'Active 1'!C$21:E$973,3,FALSE)</f>
        <v>4.2547676304513296E-3</v>
      </c>
      <c r="F26" s="3" t="s">
        <v>63</v>
      </c>
      <c r="G26" s="2" t="str">
        <f t="shared" si="4"/>
        <v>25558.456</v>
      </c>
      <c r="H26" s="14">
        <f t="shared" si="5"/>
        <v>0</v>
      </c>
      <c r="I26" s="23" t="s">
        <v>66</v>
      </c>
      <c r="J26" s="24" t="s">
        <v>67</v>
      </c>
      <c r="K26" s="23">
        <v>0</v>
      </c>
      <c r="L26" s="23" t="s">
        <v>68</v>
      </c>
      <c r="M26" s="24" t="s">
        <v>69</v>
      </c>
      <c r="N26" s="24"/>
      <c r="O26" s="25" t="s">
        <v>70</v>
      </c>
      <c r="P26" s="25" t="s">
        <v>71</v>
      </c>
    </row>
    <row r="27" spans="1:16" ht="12.75" customHeight="1" thickBot="1" x14ac:dyDescent="0.25">
      <c r="A27" s="14" t="str">
        <f t="shared" si="0"/>
        <v> VB 5.3 </v>
      </c>
      <c r="B27" s="3" t="str">
        <f t="shared" si="1"/>
        <v>I</v>
      </c>
      <c r="C27" s="14">
        <f t="shared" si="2"/>
        <v>27098.37</v>
      </c>
      <c r="D27" s="2" t="str">
        <f t="shared" si="3"/>
        <v>vis</v>
      </c>
      <c r="E27" s="22">
        <f>VLOOKUP(C27,'Active 1'!C$21:E$973,3,FALSE)</f>
        <v>252.00334097445941</v>
      </c>
      <c r="F27" s="3" t="s">
        <v>63</v>
      </c>
      <c r="G27" s="2" t="str">
        <f t="shared" si="4"/>
        <v>27098.370</v>
      </c>
      <c r="H27" s="14">
        <f t="shared" si="5"/>
        <v>252</v>
      </c>
      <c r="I27" s="23" t="s">
        <v>72</v>
      </c>
      <c r="J27" s="24" t="s">
        <v>73</v>
      </c>
      <c r="K27" s="23">
        <v>252</v>
      </c>
      <c r="L27" s="23" t="s">
        <v>74</v>
      </c>
      <c r="M27" s="24" t="s">
        <v>69</v>
      </c>
      <c r="N27" s="24"/>
      <c r="O27" s="25" t="s">
        <v>70</v>
      </c>
      <c r="P27" s="25" t="s">
        <v>71</v>
      </c>
    </row>
    <row r="28" spans="1:16" ht="12.75" customHeight="1" thickBot="1" x14ac:dyDescent="0.25">
      <c r="A28" s="14" t="str">
        <f t="shared" si="0"/>
        <v> VB 5.3 </v>
      </c>
      <c r="B28" s="3" t="str">
        <f t="shared" si="1"/>
        <v>I</v>
      </c>
      <c r="C28" s="14">
        <f t="shared" si="2"/>
        <v>27153.345000000001</v>
      </c>
      <c r="D28" s="2" t="str">
        <f t="shared" si="3"/>
        <v>vis</v>
      </c>
      <c r="E28" s="22">
        <f>VLOOKUP(C28,'Active 1'!C$21:E$973,3,FALSE)</f>
        <v>260.99971983991617</v>
      </c>
      <c r="F28" s="3" t="s">
        <v>63</v>
      </c>
      <c r="G28" s="2" t="str">
        <f t="shared" si="4"/>
        <v>27153.345</v>
      </c>
      <c r="H28" s="14">
        <f t="shared" si="5"/>
        <v>261</v>
      </c>
      <c r="I28" s="23" t="s">
        <v>75</v>
      </c>
      <c r="J28" s="24" t="s">
        <v>76</v>
      </c>
      <c r="K28" s="23">
        <v>261</v>
      </c>
      <c r="L28" s="23" t="s">
        <v>77</v>
      </c>
      <c r="M28" s="24" t="s">
        <v>69</v>
      </c>
      <c r="N28" s="24"/>
      <c r="O28" s="25" t="s">
        <v>70</v>
      </c>
      <c r="P28" s="25" t="s">
        <v>71</v>
      </c>
    </row>
    <row r="29" spans="1:16" ht="12.75" customHeight="1" thickBot="1" x14ac:dyDescent="0.25">
      <c r="A29" s="14" t="str">
        <f t="shared" si="0"/>
        <v> VB 5.3 </v>
      </c>
      <c r="B29" s="3" t="str">
        <f t="shared" si="1"/>
        <v>I</v>
      </c>
      <c r="C29" s="14">
        <f t="shared" si="2"/>
        <v>27153.366999999998</v>
      </c>
      <c r="D29" s="2" t="str">
        <f t="shared" si="3"/>
        <v>vis</v>
      </c>
      <c r="E29" s="22">
        <f>VLOOKUP(C29,'Active 1'!C$21:E$973,3,FALSE)</f>
        <v>261.00332002791095</v>
      </c>
      <c r="F29" s="3" t="s">
        <v>63</v>
      </c>
      <c r="G29" s="2" t="str">
        <f t="shared" si="4"/>
        <v>27153.367</v>
      </c>
      <c r="H29" s="14">
        <f t="shared" si="5"/>
        <v>261</v>
      </c>
      <c r="I29" s="23" t="s">
        <v>78</v>
      </c>
      <c r="J29" s="24" t="s">
        <v>79</v>
      </c>
      <c r="K29" s="23">
        <v>261</v>
      </c>
      <c r="L29" s="23" t="s">
        <v>74</v>
      </c>
      <c r="M29" s="24" t="s">
        <v>69</v>
      </c>
      <c r="N29" s="24"/>
      <c r="O29" s="25" t="s">
        <v>70</v>
      </c>
      <c r="P29" s="25" t="s">
        <v>71</v>
      </c>
    </row>
    <row r="30" spans="1:16" ht="12.75" customHeight="1" thickBot="1" x14ac:dyDescent="0.25">
      <c r="A30" s="14" t="str">
        <f t="shared" si="0"/>
        <v> VB 5.3 </v>
      </c>
      <c r="B30" s="3" t="str">
        <f t="shared" si="1"/>
        <v>I</v>
      </c>
      <c r="C30" s="14">
        <f t="shared" si="2"/>
        <v>27483.341</v>
      </c>
      <c r="D30" s="2" t="str">
        <f t="shared" si="3"/>
        <v>vis</v>
      </c>
      <c r="E30" s="22">
        <f>VLOOKUP(C30,'Active 1'!C$21:E$973,3,FALSE)</f>
        <v>315.00188518935028</v>
      </c>
      <c r="F30" s="3" t="s">
        <v>63</v>
      </c>
      <c r="G30" s="2" t="str">
        <f t="shared" si="4"/>
        <v>27483.341</v>
      </c>
      <c r="H30" s="14">
        <f t="shared" si="5"/>
        <v>315</v>
      </c>
      <c r="I30" s="23" t="s">
        <v>80</v>
      </c>
      <c r="J30" s="24" t="s">
        <v>81</v>
      </c>
      <c r="K30" s="23">
        <v>315</v>
      </c>
      <c r="L30" s="23" t="s">
        <v>82</v>
      </c>
      <c r="M30" s="24" t="s">
        <v>69</v>
      </c>
      <c r="N30" s="24"/>
      <c r="O30" s="25" t="s">
        <v>70</v>
      </c>
      <c r="P30" s="25" t="s">
        <v>71</v>
      </c>
    </row>
    <row r="31" spans="1:16" ht="12.75" customHeight="1" thickBot="1" x14ac:dyDescent="0.25">
      <c r="A31" s="14" t="str">
        <f t="shared" si="0"/>
        <v> VB 5.3 </v>
      </c>
      <c r="B31" s="3" t="str">
        <f t="shared" si="1"/>
        <v>I</v>
      </c>
      <c r="C31" s="14">
        <f t="shared" si="2"/>
        <v>28870.465</v>
      </c>
      <c r="D31" s="2" t="str">
        <f t="shared" si="3"/>
        <v>vis</v>
      </c>
      <c r="E31" s="22">
        <f>VLOOKUP(C31,'Active 1'!C$21:E$973,3,FALSE)</f>
        <v>541.99766576901982</v>
      </c>
      <c r="F31" s="3" t="s">
        <v>63</v>
      </c>
      <c r="G31" s="2" t="str">
        <f t="shared" si="4"/>
        <v>28870.465</v>
      </c>
      <c r="H31" s="14">
        <f t="shared" si="5"/>
        <v>542</v>
      </c>
      <c r="I31" s="23" t="s">
        <v>83</v>
      </c>
      <c r="J31" s="24" t="s">
        <v>84</v>
      </c>
      <c r="K31" s="23">
        <v>542</v>
      </c>
      <c r="L31" s="23" t="s">
        <v>85</v>
      </c>
      <c r="M31" s="24" t="s">
        <v>69</v>
      </c>
      <c r="N31" s="24"/>
      <c r="O31" s="25" t="s">
        <v>70</v>
      </c>
      <c r="P31" s="25" t="s">
        <v>71</v>
      </c>
    </row>
    <row r="32" spans="1:16" ht="12.75" customHeight="1" thickBot="1" x14ac:dyDescent="0.25">
      <c r="A32" s="14" t="str">
        <f t="shared" si="0"/>
        <v> VB 5.3 </v>
      </c>
      <c r="B32" s="3" t="str">
        <f t="shared" si="1"/>
        <v>I</v>
      </c>
      <c r="C32" s="14">
        <f t="shared" si="2"/>
        <v>28870.526000000002</v>
      </c>
      <c r="D32" s="2" t="str">
        <f t="shared" si="3"/>
        <v>vis</v>
      </c>
      <c r="E32" s="22">
        <f>VLOOKUP(C32,'Active 1'!C$21:E$973,3,FALSE)</f>
        <v>542.00764810846147</v>
      </c>
      <c r="F32" s="3" t="s">
        <v>63</v>
      </c>
      <c r="G32" s="2" t="str">
        <f t="shared" si="4"/>
        <v>28870.526</v>
      </c>
      <c r="H32" s="14">
        <f t="shared" si="5"/>
        <v>542</v>
      </c>
      <c r="I32" s="23" t="s">
        <v>86</v>
      </c>
      <c r="J32" s="24" t="s">
        <v>87</v>
      </c>
      <c r="K32" s="23">
        <v>542</v>
      </c>
      <c r="L32" s="23" t="s">
        <v>88</v>
      </c>
      <c r="M32" s="24" t="s">
        <v>69</v>
      </c>
      <c r="N32" s="24"/>
      <c r="O32" s="25" t="s">
        <v>70</v>
      </c>
      <c r="P32" s="25" t="s">
        <v>71</v>
      </c>
    </row>
    <row r="33" spans="1:16" ht="12.75" customHeight="1" thickBot="1" x14ac:dyDescent="0.25">
      <c r="A33" s="14" t="str">
        <f t="shared" si="0"/>
        <v> VB 5.3 </v>
      </c>
      <c r="B33" s="3" t="str">
        <f t="shared" si="1"/>
        <v>I</v>
      </c>
      <c r="C33" s="14">
        <f t="shared" si="2"/>
        <v>31027.555</v>
      </c>
      <c r="D33" s="2" t="str">
        <f t="shared" si="3"/>
        <v>vis</v>
      </c>
      <c r="E33" s="22">
        <f>VLOOKUP(C33,'Active 1'!C$21:E$973,3,FALSE)</f>
        <v>894.99446225628367</v>
      </c>
      <c r="F33" s="3" t="s">
        <v>63</v>
      </c>
      <c r="G33" s="2" t="str">
        <f t="shared" si="4"/>
        <v>31027.555</v>
      </c>
      <c r="H33" s="14">
        <f t="shared" si="5"/>
        <v>895</v>
      </c>
      <c r="I33" s="23" t="s">
        <v>89</v>
      </c>
      <c r="J33" s="24" t="s">
        <v>90</v>
      </c>
      <c r="K33" s="23">
        <v>895</v>
      </c>
      <c r="L33" s="23" t="s">
        <v>91</v>
      </c>
      <c r="M33" s="24" t="s">
        <v>69</v>
      </c>
      <c r="N33" s="24"/>
      <c r="O33" s="25" t="s">
        <v>70</v>
      </c>
      <c r="P33" s="25" t="s">
        <v>71</v>
      </c>
    </row>
    <row r="34" spans="1:16" ht="12.75" customHeight="1" thickBot="1" x14ac:dyDescent="0.25">
      <c r="A34" s="14" t="str">
        <f t="shared" si="0"/>
        <v> VB 5.3 </v>
      </c>
      <c r="B34" s="3" t="str">
        <f t="shared" si="1"/>
        <v>I</v>
      </c>
      <c r="C34" s="14">
        <f t="shared" si="2"/>
        <v>31027.600999999999</v>
      </c>
      <c r="D34" s="2" t="str">
        <f t="shared" si="3"/>
        <v>vis</v>
      </c>
      <c r="E34" s="22">
        <f>VLOOKUP(C34,'Active 1'!C$21:E$973,3,FALSE)</f>
        <v>895.00198992209164</v>
      </c>
      <c r="F34" s="3" t="s">
        <v>63</v>
      </c>
      <c r="G34" s="2" t="str">
        <f t="shared" si="4"/>
        <v>31027.601</v>
      </c>
      <c r="H34" s="14">
        <f t="shared" si="5"/>
        <v>895</v>
      </c>
      <c r="I34" s="23" t="s">
        <v>92</v>
      </c>
      <c r="J34" s="24" t="s">
        <v>93</v>
      </c>
      <c r="K34" s="23">
        <v>895</v>
      </c>
      <c r="L34" s="23" t="s">
        <v>82</v>
      </c>
      <c r="M34" s="24" t="s">
        <v>69</v>
      </c>
      <c r="N34" s="24"/>
      <c r="O34" s="25" t="s">
        <v>70</v>
      </c>
      <c r="P34" s="25" t="s">
        <v>71</v>
      </c>
    </row>
    <row r="35" spans="1:16" ht="12.75" customHeight="1" thickBot="1" x14ac:dyDescent="0.25">
      <c r="A35" s="14" t="str">
        <f t="shared" si="0"/>
        <v> VB 5.3 </v>
      </c>
      <c r="B35" s="3" t="str">
        <f t="shared" si="1"/>
        <v>I</v>
      </c>
      <c r="C35" s="14">
        <f t="shared" si="2"/>
        <v>31027.624</v>
      </c>
      <c r="D35" s="2" t="str">
        <f t="shared" si="3"/>
        <v>vis</v>
      </c>
      <c r="E35" s="22">
        <f>VLOOKUP(C35,'Active 1'!C$21:E$973,3,FALSE)</f>
        <v>895.00575375499602</v>
      </c>
      <c r="F35" s="3" t="s">
        <v>63</v>
      </c>
      <c r="G35" s="2" t="str">
        <f t="shared" si="4"/>
        <v>31027.624</v>
      </c>
      <c r="H35" s="14">
        <f t="shared" si="5"/>
        <v>895</v>
      </c>
      <c r="I35" s="23" t="s">
        <v>94</v>
      </c>
      <c r="J35" s="24" t="s">
        <v>95</v>
      </c>
      <c r="K35" s="23">
        <v>895</v>
      </c>
      <c r="L35" s="23" t="s">
        <v>96</v>
      </c>
      <c r="M35" s="24" t="s">
        <v>69</v>
      </c>
      <c r="N35" s="24"/>
      <c r="O35" s="25" t="s">
        <v>70</v>
      </c>
      <c r="P35" s="25" t="s">
        <v>71</v>
      </c>
    </row>
    <row r="36" spans="1:16" ht="12.75" customHeight="1" thickBot="1" x14ac:dyDescent="0.25">
      <c r="A36" s="14" t="str">
        <f t="shared" si="0"/>
        <v> VB 5.3 </v>
      </c>
      <c r="B36" s="3" t="str">
        <f t="shared" si="1"/>
        <v>I</v>
      </c>
      <c r="C36" s="14">
        <f t="shared" si="2"/>
        <v>33331.353999999999</v>
      </c>
      <c r="D36" s="2" t="str">
        <f t="shared" si="3"/>
        <v>vis</v>
      </c>
      <c r="E36" s="22">
        <f>VLOOKUP(C36,'Active 1'!C$21:E$973,3,FALSE)</f>
        <v>1271.9994396798318</v>
      </c>
      <c r="F36" s="3" t="s">
        <v>63</v>
      </c>
      <c r="G36" s="2" t="str">
        <f t="shared" si="4"/>
        <v>33331.354</v>
      </c>
      <c r="H36" s="14">
        <f t="shared" si="5"/>
        <v>1272</v>
      </c>
      <c r="I36" s="23" t="s">
        <v>97</v>
      </c>
      <c r="J36" s="24" t="s">
        <v>98</v>
      </c>
      <c r="K36" s="23">
        <v>1272</v>
      </c>
      <c r="L36" s="23" t="s">
        <v>65</v>
      </c>
      <c r="M36" s="24" t="s">
        <v>69</v>
      </c>
      <c r="N36" s="24"/>
      <c r="O36" s="25" t="s">
        <v>70</v>
      </c>
      <c r="P36" s="25" t="s">
        <v>71</v>
      </c>
    </row>
    <row r="37" spans="1:16" ht="12.75" customHeight="1" thickBot="1" x14ac:dyDescent="0.25">
      <c r="A37" s="14" t="str">
        <f t="shared" si="0"/>
        <v> VB 5.3 </v>
      </c>
      <c r="B37" s="3" t="str">
        <f t="shared" si="1"/>
        <v>I</v>
      </c>
      <c r="C37" s="14">
        <f t="shared" si="2"/>
        <v>34284.597000000002</v>
      </c>
      <c r="D37" s="2" t="str">
        <f t="shared" si="3"/>
        <v>vis</v>
      </c>
      <c r="E37" s="22">
        <f>VLOOKUP(C37,'Active 1'!C$21:E$973,3,FALSE)</f>
        <v>1427.9928035514874</v>
      </c>
      <c r="F37" s="3" t="s">
        <v>63</v>
      </c>
      <c r="G37" s="2" t="str">
        <f t="shared" si="4"/>
        <v>34284.597</v>
      </c>
      <c r="H37" s="14">
        <f t="shared" si="5"/>
        <v>1428</v>
      </c>
      <c r="I37" s="23" t="s">
        <v>99</v>
      </c>
      <c r="J37" s="24" t="s">
        <v>100</v>
      </c>
      <c r="K37" s="23">
        <v>1428</v>
      </c>
      <c r="L37" s="23" t="s">
        <v>101</v>
      </c>
      <c r="M37" s="24" t="s">
        <v>69</v>
      </c>
      <c r="N37" s="24"/>
      <c r="O37" s="25" t="s">
        <v>70</v>
      </c>
      <c r="P37" s="25" t="s">
        <v>71</v>
      </c>
    </row>
    <row r="38" spans="1:16" ht="12.75" customHeight="1" thickBot="1" x14ac:dyDescent="0.25">
      <c r="A38" s="14" t="str">
        <f t="shared" si="0"/>
        <v> VB 5.3 </v>
      </c>
      <c r="B38" s="3" t="str">
        <f t="shared" si="1"/>
        <v>I</v>
      </c>
      <c r="C38" s="14">
        <f t="shared" si="2"/>
        <v>34333.46</v>
      </c>
      <c r="D38" s="2" t="str">
        <f t="shared" si="3"/>
        <v>vis</v>
      </c>
      <c r="E38" s="22">
        <f>VLOOKUP(C38,'Active 1'!C$21:E$973,3,FALSE)</f>
        <v>1435.9889847338936</v>
      </c>
      <c r="F38" s="3" t="s">
        <v>63</v>
      </c>
      <c r="G38" s="2" t="str">
        <f t="shared" si="4"/>
        <v>34333.460</v>
      </c>
      <c r="H38" s="14">
        <f t="shared" si="5"/>
        <v>1436</v>
      </c>
      <c r="I38" s="23" t="s">
        <v>102</v>
      </c>
      <c r="J38" s="24" t="s">
        <v>103</v>
      </c>
      <c r="K38" s="23">
        <v>1436</v>
      </c>
      <c r="L38" s="23" t="s">
        <v>104</v>
      </c>
      <c r="M38" s="24" t="s">
        <v>69</v>
      </c>
      <c r="N38" s="24"/>
      <c r="O38" s="25" t="s">
        <v>70</v>
      </c>
      <c r="P38" s="25" t="s">
        <v>71</v>
      </c>
    </row>
    <row r="39" spans="1:16" ht="12.75" customHeight="1" thickBot="1" x14ac:dyDescent="0.25">
      <c r="A39" s="14" t="str">
        <f t="shared" si="0"/>
        <v> VB 5.3 </v>
      </c>
      <c r="B39" s="3" t="str">
        <f t="shared" si="1"/>
        <v>I</v>
      </c>
      <c r="C39" s="14">
        <f t="shared" si="2"/>
        <v>34663.512999999999</v>
      </c>
      <c r="D39" s="2" t="str">
        <f t="shared" si="3"/>
        <v>vis</v>
      </c>
      <c r="E39" s="22">
        <f>VLOOKUP(C39,'Active 1'!C$21:E$973,3,FALSE)</f>
        <v>1490.0004778431337</v>
      </c>
      <c r="F39" s="3" t="s">
        <v>63</v>
      </c>
      <c r="G39" s="2" t="str">
        <f t="shared" si="4"/>
        <v>34663.513</v>
      </c>
      <c r="H39" s="14">
        <f t="shared" si="5"/>
        <v>1490</v>
      </c>
      <c r="I39" s="23" t="s">
        <v>105</v>
      </c>
      <c r="J39" s="24" t="s">
        <v>106</v>
      </c>
      <c r="K39" s="23">
        <v>1490</v>
      </c>
      <c r="L39" s="23" t="s">
        <v>107</v>
      </c>
      <c r="M39" s="24" t="s">
        <v>69</v>
      </c>
      <c r="N39" s="24"/>
      <c r="O39" s="25" t="s">
        <v>70</v>
      </c>
      <c r="P39" s="25" t="s">
        <v>71</v>
      </c>
    </row>
    <row r="40" spans="1:16" ht="12.75" customHeight="1" thickBot="1" x14ac:dyDescent="0.25">
      <c r="A40" s="14" t="str">
        <f t="shared" si="0"/>
        <v> VSSC 60.22 </v>
      </c>
      <c r="B40" s="3" t="str">
        <f t="shared" si="1"/>
        <v>I</v>
      </c>
      <c r="C40" s="14">
        <f t="shared" si="2"/>
        <v>45357.374000000003</v>
      </c>
      <c r="D40" s="2" t="str">
        <f t="shared" si="3"/>
        <v>vis</v>
      </c>
      <c r="E40" s="22">
        <f>VLOOKUP(C40,'Active 1'!C$21:E$973,3,FALSE)</f>
        <v>3239.9963867204124</v>
      </c>
      <c r="F40" s="3" t="s">
        <v>63</v>
      </c>
      <c r="G40" s="2" t="str">
        <f t="shared" si="4"/>
        <v>45357.374</v>
      </c>
      <c r="H40" s="14">
        <f t="shared" si="5"/>
        <v>3240</v>
      </c>
      <c r="I40" s="23" t="s">
        <v>108</v>
      </c>
      <c r="J40" s="24" t="s">
        <v>109</v>
      </c>
      <c r="K40" s="23">
        <v>3240</v>
      </c>
      <c r="L40" s="23" t="s">
        <v>110</v>
      </c>
      <c r="M40" s="24" t="s">
        <v>111</v>
      </c>
      <c r="N40" s="24"/>
      <c r="O40" s="25" t="s">
        <v>112</v>
      </c>
      <c r="P40" s="25" t="s">
        <v>113</v>
      </c>
    </row>
    <row r="41" spans="1:16" ht="12.75" customHeight="1" thickBot="1" x14ac:dyDescent="0.25">
      <c r="A41" s="14" t="str">
        <f t="shared" si="0"/>
        <v>VSB 46 </v>
      </c>
      <c r="B41" s="3" t="str">
        <f t="shared" si="1"/>
        <v>I</v>
      </c>
      <c r="C41" s="14">
        <f t="shared" si="2"/>
        <v>54114.1014</v>
      </c>
      <c r="D41" s="2" t="str">
        <f t="shared" si="3"/>
        <v>vis</v>
      </c>
      <c r="E41" s="22">
        <f>VLOOKUP(C41,'Active 1'!C$21:E$973,3,FALSE)</f>
        <v>4672.9902441451122</v>
      </c>
      <c r="F41" s="3" t="s">
        <v>63</v>
      </c>
      <c r="G41" s="2" t="str">
        <f t="shared" si="4"/>
        <v>54114.1014</v>
      </c>
      <c r="H41" s="14">
        <f t="shared" si="5"/>
        <v>4673</v>
      </c>
      <c r="I41" s="23" t="s">
        <v>152</v>
      </c>
      <c r="J41" s="24" t="s">
        <v>153</v>
      </c>
      <c r="K41" s="23">
        <v>4673</v>
      </c>
      <c r="L41" s="23" t="s">
        <v>154</v>
      </c>
      <c r="M41" s="24" t="s">
        <v>149</v>
      </c>
      <c r="N41" s="24" t="s">
        <v>155</v>
      </c>
      <c r="O41" s="25" t="s">
        <v>156</v>
      </c>
      <c r="P41" s="26" t="s">
        <v>157</v>
      </c>
    </row>
    <row r="42" spans="1:16" x14ac:dyDescent="0.2">
      <c r="B42" s="3"/>
      <c r="E42" s="22"/>
      <c r="F42" s="3"/>
    </row>
    <row r="43" spans="1:16" x14ac:dyDescent="0.2">
      <c r="B43" s="3"/>
      <c r="E43" s="22"/>
      <c r="F43" s="3"/>
    </row>
    <row r="44" spans="1:16" x14ac:dyDescent="0.2">
      <c r="B44" s="3"/>
      <c r="E44" s="22"/>
      <c r="F44" s="3"/>
    </row>
    <row r="45" spans="1:16" x14ac:dyDescent="0.2">
      <c r="B45" s="3"/>
      <c r="E45" s="22"/>
      <c r="F45" s="3"/>
    </row>
    <row r="46" spans="1:16" x14ac:dyDescent="0.2">
      <c r="B46" s="3"/>
      <c r="E46" s="22"/>
      <c r="F46" s="3"/>
    </row>
    <row r="47" spans="1:16" x14ac:dyDescent="0.2">
      <c r="B47" s="3"/>
      <c r="E47" s="22"/>
      <c r="F47" s="3"/>
    </row>
    <row r="48" spans="1:16" x14ac:dyDescent="0.2">
      <c r="B48" s="3"/>
      <c r="E48" s="22"/>
      <c r="F48" s="3"/>
    </row>
    <row r="49" spans="2:6" x14ac:dyDescent="0.2">
      <c r="B49" s="3"/>
      <c r="E49" s="22"/>
      <c r="F49" s="3"/>
    </row>
    <row r="50" spans="2:6" x14ac:dyDescent="0.2">
      <c r="B50" s="3"/>
      <c r="E50" s="22"/>
      <c r="F50" s="3"/>
    </row>
    <row r="51" spans="2:6" x14ac:dyDescent="0.2">
      <c r="B51" s="3"/>
      <c r="E51" s="22"/>
      <c r="F51" s="3"/>
    </row>
    <row r="52" spans="2:6" x14ac:dyDescent="0.2">
      <c r="B52" s="3"/>
      <c r="E52" s="22"/>
      <c r="F52" s="3"/>
    </row>
    <row r="53" spans="2:6" x14ac:dyDescent="0.2">
      <c r="B53" s="3"/>
      <c r="E53" s="22"/>
      <c r="F53" s="3"/>
    </row>
    <row r="54" spans="2:6" x14ac:dyDescent="0.2">
      <c r="B54" s="3"/>
      <c r="E54" s="22"/>
      <c r="F54" s="3"/>
    </row>
    <row r="55" spans="2:6" x14ac:dyDescent="0.2">
      <c r="B55" s="3"/>
      <c r="E55" s="22"/>
      <c r="F55" s="3"/>
    </row>
    <row r="56" spans="2:6" x14ac:dyDescent="0.2">
      <c r="B56" s="3"/>
      <c r="E56" s="22"/>
      <c r="F56" s="3"/>
    </row>
    <row r="57" spans="2:6" x14ac:dyDescent="0.2">
      <c r="B57" s="3"/>
      <c r="E57" s="22"/>
      <c r="F57" s="3"/>
    </row>
    <row r="58" spans="2:6" x14ac:dyDescent="0.2">
      <c r="B58" s="3"/>
      <c r="E58" s="22"/>
      <c r="F58" s="3"/>
    </row>
    <row r="59" spans="2:6" x14ac:dyDescent="0.2">
      <c r="B59" s="3"/>
      <c r="E59" s="22"/>
      <c r="F59" s="3"/>
    </row>
    <row r="60" spans="2:6" x14ac:dyDescent="0.2">
      <c r="B60" s="3"/>
      <c r="E60" s="22"/>
      <c r="F60" s="3"/>
    </row>
    <row r="61" spans="2:6" x14ac:dyDescent="0.2">
      <c r="B61" s="3"/>
      <c r="E61" s="22"/>
      <c r="F61" s="3"/>
    </row>
    <row r="62" spans="2:6" x14ac:dyDescent="0.2">
      <c r="B62" s="3"/>
      <c r="E62" s="22"/>
      <c r="F62" s="3"/>
    </row>
    <row r="63" spans="2:6" x14ac:dyDescent="0.2">
      <c r="B63" s="3"/>
      <c r="E63" s="22"/>
      <c r="F63" s="3"/>
    </row>
    <row r="64" spans="2:6" x14ac:dyDescent="0.2">
      <c r="B64" s="3"/>
      <c r="E64" s="22"/>
      <c r="F64" s="3"/>
    </row>
    <row r="65" spans="2:6" x14ac:dyDescent="0.2">
      <c r="B65" s="3"/>
      <c r="E65" s="22"/>
      <c r="F65" s="3"/>
    </row>
    <row r="66" spans="2:6" x14ac:dyDescent="0.2">
      <c r="B66" s="3"/>
      <c r="E66" s="22"/>
      <c r="F66" s="3"/>
    </row>
    <row r="67" spans="2:6" x14ac:dyDescent="0.2">
      <c r="B67" s="3"/>
      <c r="E67" s="22"/>
      <c r="F67" s="3"/>
    </row>
    <row r="68" spans="2:6" x14ac:dyDescent="0.2">
      <c r="B68" s="3"/>
      <c r="E68" s="22"/>
      <c r="F68" s="3"/>
    </row>
    <row r="69" spans="2:6" x14ac:dyDescent="0.2">
      <c r="B69" s="3"/>
      <c r="E69" s="22"/>
      <c r="F69" s="3"/>
    </row>
    <row r="70" spans="2:6" x14ac:dyDescent="0.2">
      <c r="B70" s="3"/>
      <c r="E70" s="22"/>
      <c r="F70" s="3"/>
    </row>
    <row r="71" spans="2:6" x14ac:dyDescent="0.2">
      <c r="B71" s="3"/>
      <c r="E71" s="22"/>
      <c r="F71" s="3"/>
    </row>
    <row r="72" spans="2:6" x14ac:dyDescent="0.2">
      <c r="B72" s="3"/>
      <c r="E72" s="22"/>
      <c r="F72" s="3"/>
    </row>
    <row r="73" spans="2:6" x14ac:dyDescent="0.2">
      <c r="B73" s="3"/>
      <c r="E73" s="22"/>
      <c r="F73" s="3"/>
    </row>
    <row r="74" spans="2:6" x14ac:dyDescent="0.2">
      <c r="B74" s="3"/>
      <c r="E74" s="22"/>
      <c r="F74" s="3"/>
    </row>
    <row r="75" spans="2:6" x14ac:dyDescent="0.2">
      <c r="B75" s="3"/>
      <c r="E75" s="22"/>
      <c r="F75" s="3"/>
    </row>
    <row r="76" spans="2:6" x14ac:dyDescent="0.2">
      <c r="B76" s="3"/>
      <c r="E76" s="22"/>
      <c r="F76" s="3"/>
    </row>
    <row r="77" spans="2:6" x14ac:dyDescent="0.2">
      <c r="B77" s="3"/>
      <c r="E77" s="22"/>
      <c r="F77" s="3"/>
    </row>
    <row r="78" spans="2:6" x14ac:dyDescent="0.2">
      <c r="B78" s="3"/>
      <c r="E78" s="22"/>
      <c r="F78" s="3"/>
    </row>
    <row r="79" spans="2:6" x14ac:dyDescent="0.2">
      <c r="B79" s="3"/>
      <c r="E79" s="22"/>
      <c r="F79" s="3"/>
    </row>
    <row r="80" spans="2:6" x14ac:dyDescent="0.2">
      <c r="B80" s="3"/>
      <c r="E80" s="22"/>
      <c r="F80" s="3"/>
    </row>
    <row r="81" spans="2:6" x14ac:dyDescent="0.2">
      <c r="B81" s="3"/>
      <c r="E81" s="22"/>
      <c r="F81" s="3"/>
    </row>
    <row r="82" spans="2:6" x14ac:dyDescent="0.2">
      <c r="B82" s="3"/>
      <c r="E82" s="22"/>
      <c r="F82" s="3"/>
    </row>
    <row r="83" spans="2:6" x14ac:dyDescent="0.2">
      <c r="B83" s="3"/>
      <c r="E83" s="22"/>
      <c r="F83" s="3"/>
    </row>
    <row r="84" spans="2:6" x14ac:dyDescent="0.2">
      <c r="B84" s="3"/>
      <c r="E84" s="22"/>
      <c r="F84" s="3"/>
    </row>
    <row r="85" spans="2:6" x14ac:dyDescent="0.2">
      <c r="B85" s="3"/>
      <c r="E85" s="22"/>
      <c r="F85" s="3"/>
    </row>
    <row r="86" spans="2:6" x14ac:dyDescent="0.2">
      <c r="B86" s="3"/>
      <c r="E86" s="22"/>
      <c r="F86" s="3"/>
    </row>
    <row r="87" spans="2:6" x14ac:dyDescent="0.2">
      <c r="B87" s="3"/>
      <c r="E87" s="22"/>
      <c r="F87" s="3"/>
    </row>
    <row r="88" spans="2:6" x14ac:dyDescent="0.2">
      <c r="B88" s="3"/>
      <c r="E88" s="22"/>
      <c r="F88" s="3"/>
    </row>
    <row r="89" spans="2:6" x14ac:dyDescent="0.2">
      <c r="B89" s="3"/>
      <c r="E89" s="22"/>
      <c r="F89" s="3"/>
    </row>
    <row r="90" spans="2:6" x14ac:dyDescent="0.2">
      <c r="B90" s="3"/>
      <c r="E90" s="22"/>
      <c r="F90" s="3"/>
    </row>
    <row r="91" spans="2:6" x14ac:dyDescent="0.2">
      <c r="B91" s="3"/>
      <c r="E91" s="22"/>
      <c r="F91" s="3"/>
    </row>
    <row r="92" spans="2:6" x14ac:dyDescent="0.2">
      <c r="B92" s="3"/>
      <c r="E92" s="22"/>
      <c r="F92" s="3"/>
    </row>
    <row r="93" spans="2:6" x14ac:dyDescent="0.2">
      <c r="B93" s="3"/>
      <c r="E93" s="22"/>
      <c r="F93" s="3"/>
    </row>
    <row r="94" spans="2:6" x14ac:dyDescent="0.2">
      <c r="B94" s="3"/>
      <c r="E94" s="22"/>
      <c r="F94" s="3"/>
    </row>
    <row r="95" spans="2:6" x14ac:dyDescent="0.2">
      <c r="B95" s="3"/>
      <c r="E95" s="22"/>
      <c r="F95" s="3"/>
    </row>
    <row r="96" spans="2:6" x14ac:dyDescent="0.2">
      <c r="B96" s="3"/>
      <c r="E96" s="22"/>
      <c r="F96" s="3"/>
    </row>
    <row r="97" spans="2:6" x14ac:dyDescent="0.2">
      <c r="B97" s="3"/>
      <c r="E97" s="22"/>
      <c r="F97" s="3"/>
    </row>
    <row r="98" spans="2:6" x14ac:dyDescent="0.2">
      <c r="B98" s="3"/>
      <c r="E98" s="22"/>
      <c r="F98" s="3"/>
    </row>
    <row r="99" spans="2:6" x14ac:dyDescent="0.2">
      <c r="B99" s="3"/>
      <c r="E99" s="22"/>
      <c r="F99" s="3"/>
    </row>
    <row r="100" spans="2:6" x14ac:dyDescent="0.2">
      <c r="B100" s="3"/>
      <c r="E100" s="22"/>
      <c r="F100" s="3"/>
    </row>
    <row r="101" spans="2:6" x14ac:dyDescent="0.2">
      <c r="B101" s="3"/>
      <c r="E101" s="22"/>
      <c r="F101" s="3"/>
    </row>
    <row r="102" spans="2:6" x14ac:dyDescent="0.2">
      <c r="B102" s="3"/>
      <c r="E102" s="22"/>
      <c r="F102" s="3"/>
    </row>
    <row r="103" spans="2:6" x14ac:dyDescent="0.2">
      <c r="B103" s="3"/>
      <c r="E103" s="22"/>
      <c r="F103" s="3"/>
    </row>
    <row r="104" spans="2:6" x14ac:dyDescent="0.2">
      <c r="B104" s="3"/>
      <c r="E104" s="22"/>
      <c r="F104" s="3"/>
    </row>
    <row r="105" spans="2:6" x14ac:dyDescent="0.2">
      <c r="B105" s="3"/>
      <c r="E105" s="22"/>
      <c r="F105" s="3"/>
    </row>
    <row r="106" spans="2:6" x14ac:dyDescent="0.2">
      <c r="B106" s="3"/>
      <c r="E106" s="22"/>
      <c r="F106" s="3"/>
    </row>
    <row r="107" spans="2:6" x14ac:dyDescent="0.2">
      <c r="B107" s="3"/>
      <c r="E107" s="22"/>
      <c r="F107" s="3"/>
    </row>
    <row r="108" spans="2:6" x14ac:dyDescent="0.2">
      <c r="B108" s="3"/>
      <c r="E108" s="22"/>
      <c r="F108" s="3"/>
    </row>
    <row r="109" spans="2:6" x14ac:dyDescent="0.2">
      <c r="B109" s="3"/>
      <c r="E109" s="22"/>
      <c r="F109" s="3"/>
    </row>
    <row r="110" spans="2:6" x14ac:dyDescent="0.2">
      <c r="B110" s="3"/>
      <c r="E110" s="22"/>
      <c r="F110" s="3"/>
    </row>
    <row r="111" spans="2:6" x14ac:dyDescent="0.2">
      <c r="B111" s="3"/>
      <c r="E111" s="22"/>
      <c r="F111" s="3"/>
    </row>
    <row r="112" spans="2:6" x14ac:dyDescent="0.2">
      <c r="B112" s="3"/>
      <c r="E112" s="22"/>
      <c r="F112" s="3"/>
    </row>
    <row r="113" spans="2:6" x14ac:dyDescent="0.2">
      <c r="B113" s="3"/>
      <c r="E113" s="22"/>
      <c r="F113" s="3"/>
    </row>
    <row r="114" spans="2:6" x14ac:dyDescent="0.2">
      <c r="B114" s="3"/>
      <c r="E114" s="22"/>
      <c r="F114" s="3"/>
    </row>
    <row r="115" spans="2:6" x14ac:dyDescent="0.2">
      <c r="B115" s="3"/>
      <c r="E115" s="22"/>
      <c r="F115" s="3"/>
    </row>
    <row r="116" spans="2:6" x14ac:dyDescent="0.2">
      <c r="B116" s="3"/>
      <c r="E116" s="22"/>
      <c r="F116" s="3"/>
    </row>
    <row r="117" spans="2:6" x14ac:dyDescent="0.2">
      <c r="B117" s="3"/>
      <c r="E117" s="22"/>
      <c r="F117" s="3"/>
    </row>
    <row r="118" spans="2:6" x14ac:dyDescent="0.2">
      <c r="B118" s="3"/>
      <c r="E118" s="22"/>
      <c r="F118" s="3"/>
    </row>
    <row r="119" spans="2:6" x14ac:dyDescent="0.2">
      <c r="B119" s="3"/>
      <c r="E119" s="22"/>
      <c r="F119" s="3"/>
    </row>
    <row r="120" spans="2:6" x14ac:dyDescent="0.2">
      <c r="B120" s="3"/>
      <c r="E120" s="22"/>
      <c r="F120" s="3"/>
    </row>
    <row r="121" spans="2:6" x14ac:dyDescent="0.2">
      <c r="B121" s="3"/>
      <c r="E121" s="22"/>
      <c r="F121" s="3"/>
    </row>
    <row r="122" spans="2:6" x14ac:dyDescent="0.2">
      <c r="B122" s="3"/>
      <c r="E122" s="22"/>
      <c r="F122" s="3"/>
    </row>
    <row r="123" spans="2:6" x14ac:dyDescent="0.2">
      <c r="B123" s="3"/>
      <c r="E123" s="22"/>
      <c r="F123" s="3"/>
    </row>
    <row r="124" spans="2:6" x14ac:dyDescent="0.2">
      <c r="B124" s="3"/>
      <c r="E124" s="22"/>
      <c r="F124" s="3"/>
    </row>
    <row r="125" spans="2:6" x14ac:dyDescent="0.2">
      <c r="B125" s="3"/>
      <c r="E125" s="22"/>
      <c r="F125" s="3"/>
    </row>
    <row r="126" spans="2:6" x14ac:dyDescent="0.2">
      <c r="B126" s="3"/>
      <c r="E126" s="22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</sheetData>
  <phoneticPr fontId="6" type="noConversion"/>
  <hyperlinks>
    <hyperlink ref="P13" r:id="rId1" display="http://www.konkoly.hu/cgi-bin/IBVS?4009"/>
    <hyperlink ref="P14" r:id="rId2" display="http://www.konkoly.hu/cgi-bin/IBVS?4009"/>
    <hyperlink ref="P15" r:id="rId3" display="http://www.konkoly.hu/cgi-bin/IBVS?4737"/>
    <hyperlink ref="P16" r:id="rId4" display="http://www.konkoly.hu/cgi-bin/IBVS?5357"/>
    <hyperlink ref="P17" r:id="rId5" display="http://www.konkoly.hu/cgi-bin/IBVS?5577"/>
    <hyperlink ref="P18" r:id="rId6" display="http://www.konkoly.hu/cgi-bin/IBVS?5764"/>
    <hyperlink ref="P41" r:id="rId7" display="http://vsolj.cetus-net.org/no46.pdf"/>
    <hyperlink ref="P19" r:id="rId8" display="http://www.konkoly.hu/cgi-bin/IBVS?5894"/>
    <hyperlink ref="P20" r:id="rId9" display="http://www.konkoly.hu/cgi-bin/IBVS?5972"/>
    <hyperlink ref="P21" r:id="rId10" display="http://www.konkoly.hu/cgi-bin/IBVS?5972"/>
    <hyperlink ref="P22" r:id="rId11" display="http://www.konkoly.hu/cgi-bin/IBVS?5972"/>
    <hyperlink ref="P23" r:id="rId12" display="http://www.konkoly.hu/cgi-bin/IBVS?5972"/>
    <hyperlink ref="P24" r:id="rId13" display="http://www.konkoly.hu/cgi-bin/IBVS?5972"/>
    <hyperlink ref="P25" r:id="rId14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2024-02-28T07:02:28Z</dcterms:modified>
</cp:coreProperties>
</file>