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A45BA14-DA77-4D20-8C76-2C834DAF3C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4" i="1" l="1"/>
  <c r="Q35" i="1"/>
  <c r="C7" i="1"/>
  <c r="E34" i="1"/>
  <c r="F34" i="1"/>
  <c r="C8" i="1"/>
  <c r="D9" i="1"/>
  <c r="C9" i="1"/>
  <c r="E30" i="1"/>
  <c r="F30" i="1"/>
  <c r="Q23" i="1"/>
  <c r="Q24" i="1"/>
  <c r="Q25" i="1"/>
  <c r="Q26" i="1"/>
  <c r="Q27" i="1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24" i="2"/>
  <c r="C24" i="2"/>
  <c r="G23" i="2"/>
  <c r="C23" i="2"/>
  <c r="G22" i="2"/>
  <c r="C22" i="2"/>
  <c r="G21" i="2"/>
  <c r="C21" i="2"/>
  <c r="G20" i="2"/>
  <c r="C20" i="2"/>
  <c r="G12" i="2"/>
  <c r="C12" i="2"/>
  <c r="G19" i="2"/>
  <c r="C19" i="2"/>
  <c r="E19" i="2"/>
  <c r="G11" i="2"/>
  <c r="C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2" i="2"/>
  <c r="B12" i="2"/>
  <c r="D12" i="2"/>
  <c r="A12" i="2"/>
  <c r="H19" i="2"/>
  <c r="B19" i="2"/>
  <c r="D19" i="2"/>
  <c r="A19" i="2"/>
  <c r="H11" i="2"/>
  <c r="B11" i="2"/>
  <c r="D11" i="2"/>
  <c r="A11" i="2"/>
  <c r="Q29" i="1"/>
  <c r="Q30" i="1"/>
  <c r="Q31" i="1"/>
  <c r="Q32" i="1"/>
  <c r="Q33" i="1"/>
  <c r="F16" i="1"/>
  <c r="F17" i="1" s="1"/>
  <c r="C17" i="1"/>
  <c r="Q28" i="1"/>
  <c r="Q22" i="1"/>
  <c r="Q21" i="1"/>
  <c r="E24" i="2"/>
  <c r="E12" i="2"/>
  <c r="E33" i="1"/>
  <c r="F33" i="1"/>
  <c r="G33" i="1"/>
  <c r="K33" i="1"/>
  <c r="U27" i="1"/>
  <c r="E25" i="1"/>
  <c r="F25" i="1"/>
  <c r="G25" i="1"/>
  <c r="I25" i="1"/>
  <c r="E22" i="1"/>
  <c r="F22" i="1"/>
  <c r="G22" i="1"/>
  <c r="J22" i="1"/>
  <c r="E27" i="1"/>
  <c r="F27" i="1"/>
  <c r="E32" i="1"/>
  <c r="F32" i="1"/>
  <c r="G32" i="1"/>
  <c r="K32" i="1"/>
  <c r="G26" i="1"/>
  <c r="I26" i="1"/>
  <c r="E24" i="1"/>
  <c r="F24" i="1"/>
  <c r="G24" i="1"/>
  <c r="I24" i="1"/>
  <c r="E35" i="1"/>
  <c r="F35" i="1"/>
  <c r="G35" i="1"/>
  <c r="K35" i="1"/>
  <c r="E29" i="1"/>
  <c r="F29" i="1"/>
  <c r="G29" i="1"/>
  <c r="K29" i="1"/>
  <c r="E21" i="1"/>
  <c r="F21" i="1"/>
  <c r="G21" i="1"/>
  <c r="E26" i="1"/>
  <c r="F26" i="1"/>
  <c r="G34" i="1"/>
  <c r="K34" i="1"/>
  <c r="E31" i="1"/>
  <c r="F31" i="1"/>
  <c r="G31" i="1"/>
  <c r="K31" i="1"/>
  <c r="G30" i="1"/>
  <c r="K30" i="1"/>
  <c r="E28" i="1"/>
  <c r="F28" i="1"/>
  <c r="G28" i="1"/>
  <c r="J28" i="1"/>
  <c r="E23" i="1"/>
  <c r="F23" i="1"/>
  <c r="G23" i="1"/>
  <c r="I23" i="1"/>
  <c r="J21" i="1"/>
  <c r="E18" i="2"/>
  <c r="E23" i="2"/>
  <c r="E20" i="2"/>
  <c r="E17" i="2"/>
  <c r="E11" i="2"/>
  <c r="E22" i="2"/>
  <c r="E14" i="2"/>
  <c r="E21" i="2"/>
  <c r="E13" i="2"/>
  <c r="E16" i="2"/>
  <c r="C11" i="1"/>
  <c r="C12" i="1"/>
  <c r="C16" i="1" l="1"/>
  <c r="D18" i="1" s="1"/>
  <c r="O23" i="1"/>
  <c r="O35" i="1"/>
  <c r="O28" i="1"/>
  <c r="O24" i="1"/>
  <c r="O26" i="1"/>
  <c r="O27" i="1"/>
  <c r="O25" i="1"/>
  <c r="O31" i="1"/>
  <c r="O30" i="1"/>
  <c r="O29" i="1"/>
  <c r="O22" i="1"/>
  <c r="C15" i="1"/>
  <c r="O33" i="1"/>
  <c r="O34" i="1"/>
  <c r="O21" i="1"/>
  <c r="O32" i="1"/>
  <c r="C18" i="1" l="1"/>
  <c r="F18" i="1"/>
  <c r="F19" i="1" s="1"/>
</calcChain>
</file>

<file path=xl/sharedStrings.xml><?xml version="1.0" encoding="utf-8"?>
<sst xmlns="http://schemas.openxmlformats.org/spreadsheetml/2006/main" count="201" uniqueCount="130">
  <si>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</si>
  <si>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</si>
  <si>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</si>
  <si>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</si>
  <si>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</si>
  <si>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</si>
  <si>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</si>
  <si>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</si>
  <si>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</si>
  <si>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</si>
  <si>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</si>
  <si>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</si>
  <si>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</si>
  <si>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</si>
  <si>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</si>
  <si>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</si>
  <si>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</si>
  <si>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</si>
  <si>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</si>
  <si>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</si>
  <si>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</si>
  <si>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</si>
  <si>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</si>
  <si>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</si>
  <si>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</si>
  <si>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</si>
  <si>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</si>
  <si>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</si>
  <si>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</si>
  <si>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</t>
  </si>
  <si>
    <t>phe</t>
  </si>
  <si>
    <t>A AP 228,365</t>
  </si>
  <si>
    <t>K</t>
  </si>
  <si>
    <t># of data points:</t>
  </si>
  <si>
    <t>EA/DM</t>
  </si>
  <si>
    <t>V1031 Ori / GSC 00112-01569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</si>
  <si>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</si>
  <si>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</si>
  <si>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</si>
  <si>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</si>
  <si>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</si>
  <si>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</si>
  <si>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</si>
  <si>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</si>
  <si>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Add cycle</t>
  </si>
  <si>
    <t>Old Cycle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</si>
  <si>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</si>
  <si>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</si>
  <si>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</si>
  <si>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</si>
  <si>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</si>
  <si>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</si>
  <si>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</si>
  <si>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</si>
  <si>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</si>
  <si>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</si>
  <si>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</si>
  <si>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</si>
  <si>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</si>
  <si>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2442688.8732 </t>
  </si>
  <si>
    <t> 03.10.1975 08:57 </t>
  </si>
  <si>
    <t> 0.0000 </t>
  </si>
  <si>
    <t>E </t>
  </si>
  <si>
    <t>?</t>
  </si>
  <si>
    <t> E.H.Ohlsen </t>
  </si>
  <si>
    <t> AAPS 29.314 </t>
  </si>
  <si>
    <t>2444643.6657 </t>
  </si>
  <si>
    <t> 08.02.1981 03:58 </t>
  </si>
  <si>
    <t> -0.0793 </t>
  </si>
  <si>
    <t> J.V.Clausen et al. </t>
  </si>
  <si>
    <t> AAP 228.370 </t>
  </si>
  <si>
    <t>2444655.5866 </t>
  </si>
  <si>
    <t> 20.02.1981 02:04 </t>
  </si>
  <si>
    <t> -0.0783 </t>
  </si>
  <si>
    <t>2447567.328 </t>
  </si>
  <si>
    <t> 09.02.1989 19:52 </t>
  </si>
  <si>
    <t> -0.210 </t>
  </si>
  <si>
    <t>V </t>
  </si>
  <si>
    <t> T.Brelstaff </t>
  </si>
  <si>
    <t> VSSC 73 </t>
  </si>
  <si>
    <t>2447783.553 </t>
  </si>
  <si>
    <t> 14.09.1989 01:16 </t>
  </si>
  <si>
    <t> -0.247 </t>
  </si>
  <si>
    <t>2451572.315 </t>
  </si>
  <si>
    <t> 28.01.2000 19:33 </t>
  </si>
  <si>
    <t> -0.327 </t>
  </si>
  <si>
    <t> K.Tikkanen </t>
  </si>
  <si>
    <t> BBS 122 </t>
  </si>
  <si>
    <t>2451577.402 </t>
  </si>
  <si>
    <t> 02.02.2000 21:38 </t>
  </si>
  <si>
    <t> -0.348 </t>
  </si>
  <si>
    <t>2453682.474 </t>
  </si>
  <si>
    <t> 07.11.2005 23:22 </t>
  </si>
  <si>
    <t> 0.001 </t>
  </si>
  <si>
    <t> H.Strüver </t>
  </si>
  <si>
    <t>BAVM 179 </t>
  </si>
  <si>
    <t>2454516.3894 </t>
  </si>
  <si>
    <t> 19.02.2008 21:20 </t>
  </si>
  <si>
    <t> -0.4799 </t>
  </si>
  <si>
    <t>C </t>
  </si>
  <si>
    <t>-I</t>
  </si>
  <si>
    <t> P.Frank </t>
  </si>
  <si>
    <t>BAVM 201 </t>
  </si>
  <si>
    <t>2455255.35357 </t>
  </si>
  <si>
    <t> 27.02.2010 20:29 </t>
  </si>
  <si>
    <t>3690</t>
  </si>
  <si>
    <t> -0.55263 </t>
  </si>
  <si>
    <t>V;R</t>
  </si>
  <si>
    <t> R.Uhlar </t>
  </si>
  <si>
    <t>IBVS 6007 </t>
  </si>
  <si>
    <t>2455599.34852 </t>
  </si>
  <si>
    <t> 06.02.2011 20:21 </t>
  </si>
  <si>
    <t>3791</t>
  </si>
  <si>
    <t> -0.53338 </t>
  </si>
  <si>
    <t>R</t>
  </si>
  <si>
    <t>2455616.39163 </t>
  </si>
  <si>
    <t> 23.02.2011 21:23 </t>
  </si>
  <si>
    <t>3796</t>
  </si>
  <si>
    <t> -0.51877 </t>
  </si>
  <si>
    <t>2455645.32473 </t>
  </si>
  <si>
    <t> 24.03.2011 19:47 </t>
  </si>
  <si>
    <t>3804.5</t>
  </si>
  <si>
    <t> -0.53412 </t>
  </si>
  <si>
    <t>2455878.60668 </t>
  </si>
  <si>
    <t> 13.11.2011 02:33 </t>
  </si>
  <si>
    <t>3873</t>
  </si>
  <si>
    <t> -0.54262 </t>
  </si>
  <si>
    <t>V;C</t>
  </si>
  <si>
    <t>BAD?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</si>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</sst>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6" fillId="0" borderId="0" xfId="42" applyFont="1"/>
    <xf numFmtId="0" fontId="36" fillId="0" borderId="0" xfId="42" applyFont="1" applyBorder="1" applyAlignment="1">
      <alignment horizontal="center"/>
    </xf>
    <xf numFmtId="176" fontId="36" fillId="0" borderId="0" xfId="42" applyNumberFormat="1" applyFont="1" applyFill="1" applyBorder="1" applyAlignment="1" applyProtection="1">
      <alignment horizontal="left" vertical="top"/>
    </xf>
    <xf numFmtId="0" fontId="36" fillId="0" borderId="0" xfId="42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V1031 Ori - O-C Diagr.</a:t>
            </a:r>
          </a:p>
        </c:rich>
      </c:tx>
      <c:layout>
        <c:manualLayout>
          <c:xMode val="edge"/>
          <c:yMode val="edge"/>
          <c:x val="0.387268182989062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3216849470045"/>
          <c:y val="0.14769252958613219"/>
          <c:w val="0.8514594373364434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9-4F6E-BB1B-DA4EDC3FB3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-0.21044999999867287</c:v>
                </c:pt>
                <c:pt idx="3">
                  <c:v>-0.24740000000019791</c:v>
                </c:pt>
                <c:pt idx="4">
                  <c:v>-0.32665000000270084</c:v>
                </c:pt>
                <c:pt idx="5">
                  <c:v>-0.34820000000036089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9-4F6E-BB1B-DA4EDC3FB3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0</c:v>
                </c:pt>
                <c:pt idx="1">
                  <c:v>-7.8349999996135011E-2</c:v>
                </c:pt>
                <c:pt idx="7">
                  <c:v>-0.47990000000572763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89-4F6E-BB1B-DA4EDC3FB3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-0.55262999999831663</c:v>
                </c:pt>
                <c:pt idx="9">
                  <c:v>-0.53338000000076136</c:v>
                </c:pt>
                <c:pt idx="10">
                  <c:v>-0.51877000000240514</c:v>
                </c:pt>
                <c:pt idx="11">
                  <c:v>-0.53412000000389526</c:v>
                </c:pt>
                <c:pt idx="12">
                  <c:v>-0.54262000000744592</c:v>
                </c:pt>
                <c:pt idx="13">
                  <c:v>-0.65269999999873107</c:v>
                </c:pt>
                <c:pt idx="14">
                  <c:v>-0.62114999999903375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89-4F6E-BB1B-DA4EDC3FB3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89-4F6E-BB1B-DA4EDC3FB3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89-4F6E-BB1B-DA4EDC3FB3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4.0000000000000002E-4</c:v>
                  </c:pt>
                  <c:pt idx="8">
                    <c:v>3.79E-3</c:v>
                  </c:pt>
                  <c:pt idx="9">
                    <c:v>9.3000000000000005E-4</c:v>
                  </c:pt>
                  <c:pt idx="10">
                    <c:v>2.5600000000000002E-3</c:v>
                  </c:pt>
                  <c:pt idx="11">
                    <c:v>2.0200000000000001E-3</c:v>
                  </c:pt>
                  <c:pt idx="12">
                    <c:v>6.4000000000000005E-4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89-4F6E-BB1B-DA4EDC3FB3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-4.7005801320576523E-4</c:v>
                </c:pt>
                <c:pt idx="1">
                  <c:v>-8.1886668584069261E-2</c:v>
                </c:pt>
                <c:pt idx="2">
                  <c:v>-0.20242554657210093</c:v>
                </c:pt>
                <c:pt idx="3">
                  <c:v>-0.21137784920629979</c:v>
                </c:pt>
                <c:pt idx="4">
                  <c:v>-0.36821937173458663</c:v>
                </c:pt>
                <c:pt idx="5">
                  <c:v>-0.36843084345035509</c:v>
                </c:pt>
                <c:pt idx="6">
                  <c:v>-0.45555719034696746</c:v>
                </c:pt>
                <c:pt idx="7">
                  <c:v>-0.49009757058915199</c:v>
                </c:pt>
                <c:pt idx="8">
                  <c:v>-0.52069047880365826</c:v>
                </c:pt>
                <c:pt idx="9">
                  <c:v>-0.534929574332069</c:v>
                </c:pt>
                <c:pt idx="10">
                  <c:v>-0.53563448005129732</c:v>
                </c:pt>
                <c:pt idx="11">
                  <c:v>-0.53683281977398534</c:v>
                </c:pt>
                <c:pt idx="12">
                  <c:v>-0.54649002812741243</c:v>
                </c:pt>
                <c:pt idx="13">
                  <c:v>-0.62417063838636622</c:v>
                </c:pt>
                <c:pt idx="14">
                  <c:v>-0.62466407238982591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89-4F6E-BB1B-DA4EDC3FB3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577.5</c:v>
                </c:pt>
                <c:pt idx="2">
                  <c:v>1432.5</c:v>
                </c:pt>
                <c:pt idx="3">
                  <c:v>1496</c:v>
                </c:pt>
                <c:pt idx="4">
                  <c:v>2608.5</c:v>
                </c:pt>
                <c:pt idx="5">
                  <c:v>2610</c:v>
                </c:pt>
                <c:pt idx="6">
                  <c:v>3228</c:v>
                </c:pt>
                <c:pt idx="7">
                  <c:v>3473</c:v>
                </c:pt>
                <c:pt idx="8">
                  <c:v>3690</c:v>
                </c:pt>
                <c:pt idx="9">
                  <c:v>3791</c:v>
                </c:pt>
                <c:pt idx="10">
                  <c:v>3796</c:v>
                </c:pt>
                <c:pt idx="11">
                  <c:v>3804.5</c:v>
                </c:pt>
                <c:pt idx="12">
                  <c:v>3873</c:v>
                </c:pt>
                <c:pt idx="13">
                  <c:v>4424</c:v>
                </c:pt>
                <c:pt idx="14">
                  <c:v>4427.5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6">
                  <c:v>1.1999999987892807E-3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89-4F6E-BB1B-DA4EDC3FB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31104"/>
        <c:axId val="1"/>
      </c:scatterChart>
      <c:valAx>
        <c:axId val="61073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466975779221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41909814323607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3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748149849969"/>
          <c:y val="0.92000129214617399"/>
          <c:w val="0.6220163328390317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276225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C081BE-192E-1124-1DC6-36F5CB70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 s="25" customFormat="1" ht="12.95" customHeight="1">
      <c r="A2" s="25" t="s">
        <v>28</v>
      </c>
      <c r="B2" s="26" t="s">
        <v>34</v>
      </c>
    </row>
    <row r="3" spans="1:6" s="25" customFormat="1" ht="12.95" customHeight="1"/>
    <row r="4" spans="1:6" s="25" customFormat="1" ht="12.95" customHeight="1" thickTop="1" thickBot="1">
      <c r="A4" s="27" t="s">
        <v>4</v>
      </c>
      <c r="C4" s="28">
        <v>42688.873200000002</v>
      </c>
      <c r="D4" s="29">
        <v>3.4056999999999999</v>
      </c>
    </row>
    <row r="5" spans="1:6" s="25" customFormat="1" ht="12.95" customHeight="1" thickTop="1">
      <c r="A5" s="30" t="s">
        <v>36</v>
      </c>
      <c r="C5" s="31">
        <v>-9.5</v>
      </c>
      <c r="D5" s="25" t="s">
        <v>37</v>
      </c>
    </row>
    <row r="6" spans="1:6" s="25" customFormat="1" ht="12.95" customHeight="1">
      <c r="A6" s="27" t="s">
        <v>5</v>
      </c>
    </row>
    <row r="7" spans="1:6" s="25" customFormat="1" ht="12.95" customHeight="1">
      <c r="A7" s="25" t="s">
        <v>6</v>
      </c>
      <c r="C7" s="25">
        <f>+C4</f>
        <v>42688.873200000002</v>
      </c>
    </row>
    <row r="8" spans="1:6" s="25" customFormat="1" ht="12.95" customHeight="1">
      <c r="A8" s="25" t="s">
        <v>7</v>
      </c>
      <c r="C8" s="25">
        <f>+D4</f>
        <v>3.4056999999999999</v>
      </c>
    </row>
    <row r="9" spans="1:6" s="25" customFormat="1" ht="12.95" customHeight="1">
      <c r="A9" s="32" t="s">
        <v>41</v>
      </c>
      <c r="B9" s="33">
        <v>21</v>
      </c>
      <c r="C9" s="34" t="str">
        <f>"F"&amp;B9</f>
        <v>F21</v>
      </c>
      <c r="D9" s="35" t="str">
        <f>"G"&amp;B9</f>
        <v>G21</v>
      </c>
    </row>
    <row r="10" spans="1:6" s="25" customFormat="1" ht="12.95" customHeight="1" thickBot="1">
      <c r="C10" s="36" t="s">
        <v>24</v>
      </c>
      <c r="D10" s="36" t="s">
        <v>25</v>
      </c>
    </row>
    <row r="11" spans="1:6" s="25" customFormat="1" ht="12.95" customHeight="1">
      <c r="A11" s="25" t="s">
        <v>20</v>
      </c>
      <c r="C11" s="35">
        <f ca="1">INTERCEPT(INDIRECT($D$9):G992,INDIRECT($C$9):F992)</f>
        <v>-4.7005801320576523E-4</v>
      </c>
      <c r="D11" s="37"/>
    </row>
    <row r="12" spans="1:6" s="25" customFormat="1" ht="12.95" customHeight="1">
      <c r="A12" s="25" t="s">
        <v>21</v>
      </c>
      <c r="C12" s="35">
        <f ca="1">SLOPE(INDIRECT($D$9):G992,INDIRECT($C$9):F992)</f>
        <v>-1.4098114384565109E-4</v>
      </c>
      <c r="D12" s="37"/>
    </row>
    <row r="13" spans="1:6" s="25" customFormat="1" ht="12.95" customHeight="1">
      <c r="A13" s="25" t="s">
        <v>23</v>
      </c>
      <c r="C13" s="37" t="s">
        <v>18</v>
      </c>
    </row>
    <row r="14" spans="1:6" s="25" customFormat="1" ht="12.95" customHeight="1"/>
    <row r="15" spans="1:6" s="25" customFormat="1" ht="12.95" customHeight="1">
      <c r="A15" s="38" t="s">
        <v>22</v>
      </c>
      <c r="C15" s="39">
        <f ca="1">(C7+C11)+(C8+C12)*INT(MAX(F21:F3533))</f>
        <v>57765.282506418189</v>
      </c>
      <c r="E15" s="40" t="s">
        <v>44</v>
      </c>
      <c r="F15" s="31">
        <v>1</v>
      </c>
    </row>
    <row r="16" spans="1:6" s="25" customFormat="1" ht="12.95" customHeight="1">
      <c r="A16" s="27" t="s">
        <v>8</v>
      </c>
      <c r="C16" s="41">
        <f ca="1">+C8+C12</f>
        <v>3.4055590188561542</v>
      </c>
      <c r="E16" s="40" t="s">
        <v>38</v>
      </c>
      <c r="F16" s="42">
        <f ca="1">NOW()+15018.5+$C$5/24</f>
        <v>60370.713783796295</v>
      </c>
    </row>
    <row r="17" spans="1:30" s="25" customFormat="1" ht="12.95" customHeight="1" thickBot="1">
      <c r="A17" s="40" t="s">
        <v>33</v>
      </c>
      <c r="C17" s="25">
        <f>COUNT(C21:C2191)</f>
        <v>15</v>
      </c>
      <c r="E17" s="40" t="s">
        <v>45</v>
      </c>
      <c r="F17" s="42">
        <f ca="1">ROUND(2*(F16-$C$7)/$C$8,0)/2+F15</f>
        <v>5193</v>
      </c>
    </row>
    <row r="18" spans="1:30" s="25" customFormat="1" ht="12.95" customHeight="1" thickTop="1" thickBot="1">
      <c r="A18" s="27" t="s">
        <v>9</v>
      </c>
      <c r="C18" s="28">
        <f ca="1">+C15</f>
        <v>57765.282506418189</v>
      </c>
      <c r="D18" s="29">
        <f ca="1">+C16</f>
        <v>3.4055590188561542</v>
      </c>
      <c r="E18" s="40" t="s">
        <v>39</v>
      </c>
      <c r="F18" s="35">
        <f ca="1">ROUND(2*(F16-$C$15)/$C$16,0)/2+F15</f>
        <v>766</v>
      </c>
    </row>
    <row r="19" spans="1:30" s="25" customFormat="1" ht="12.95" customHeight="1" thickTop="1">
      <c r="E19" s="40" t="s">
        <v>40</v>
      </c>
      <c r="F19" s="43">
        <f ca="1">+$C$15+$C$16*F18-15018.5-$C$5/24</f>
        <v>45355.836548195337</v>
      </c>
    </row>
    <row r="20" spans="1:30" s="25" customFormat="1" ht="12.95" customHeight="1" thickBot="1">
      <c r="A20" s="36" t="s">
        <v>10</v>
      </c>
      <c r="B20" s="36" t="s">
        <v>11</v>
      </c>
      <c r="C20" s="36" t="s">
        <v>12</v>
      </c>
      <c r="D20" s="36" t="s">
        <v>17</v>
      </c>
      <c r="E20" s="36" t="s">
        <v>13</v>
      </c>
      <c r="F20" s="36" t="s">
        <v>14</v>
      </c>
      <c r="G20" s="36" t="s">
        <v>15</v>
      </c>
      <c r="H20" s="44" t="s">
        <v>55</v>
      </c>
      <c r="I20" s="44" t="s">
        <v>58</v>
      </c>
      <c r="J20" s="44" t="s">
        <v>52</v>
      </c>
      <c r="K20" s="44" t="s">
        <v>50</v>
      </c>
      <c r="L20" s="44" t="s">
        <v>1</v>
      </c>
      <c r="M20" s="44" t="s">
        <v>2</v>
      </c>
      <c r="N20" s="44" t="s">
        <v>3</v>
      </c>
      <c r="O20" s="44" t="s">
        <v>27</v>
      </c>
      <c r="P20" s="45" t="s">
        <v>26</v>
      </c>
      <c r="Q20" s="36" t="s">
        <v>19</v>
      </c>
      <c r="U20" s="46" t="s">
        <v>128</v>
      </c>
    </row>
    <row r="21" spans="1:30" s="25" customFormat="1" ht="12.95" customHeight="1">
      <c r="A21" s="25" t="s">
        <v>16</v>
      </c>
      <c r="C21" s="47">
        <v>42688.873200000002</v>
      </c>
      <c r="D21" s="47" t="s">
        <v>18</v>
      </c>
      <c r="E21" s="25">
        <f t="shared" ref="E21:E33" si="0">+(C21-C$7)/C$8</f>
        <v>0</v>
      </c>
      <c r="F21" s="25">
        <f t="shared" ref="F21:F35" si="1">ROUND(2*E21,0)/2</f>
        <v>0</v>
      </c>
      <c r="G21" s="25">
        <f t="shared" ref="G21:G26" si="2">+C21-(C$7+F21*C$8)</f>
        <v>0</v>
      </c>
      <c r="J21" s="25">
        <f>+G21</f>
        <v>0</v>
      </c>
      <c r="O21" s="25">
        <f t="shared" ref="O21:O33" ca="1" si="3">+C$11+C$12*$F21</f>
        <v>-4.7005801320576523E-4</v>
      </c>
      <c r="Q21" s="48">
        <f t="shared" ref="Q21:Q33" si="4">+C21-15018.5</f>
        <v>27670.373200000002</v>
      </c>
    </row>
    <row r="22" spans="1:30" s="25" customFormat="1" ht="12.95" customHeight="1">
      <c r="A22" s="25" t="s">
        <v>31</v>
      </c>
      <c r="B22" s="25" t="s">
        <v>29</v>
      </c>
      <c r="C22" s="49">
        <v>44655.586600000002</v>
      </c>
      <c r="D22" s="47"/>
      <c r="E22" s="25">
        <f t="shared" si="0"/>
        <v>577.47699445048022</v>
      </c>
      <c r="F22" s="25">
        <f t="shared" si="1"/>
        <v>577.5</v>
      </c>
      <c r="G22" s="25">
        <f t="shared" si="2"/>
        <v>-7.8349999996135011E-2</v>
      </c>
      <c r="J22" s="25">
        <f>+G22</f>
        <v>-7.8349999996135011E-2</v>
      </c>
      <c r="O22" s="25">
        <f t="shared" ca="1" si="3"/>
        <v>-8.1886668584069261E-2</v>
      </c>
      <c r="Q22" s="48">
        <f t="shared" si="4"/>
        <v>29637.086600000002</v>
      </c>
      <c r="AA22" s="25" t="s">
        <v>30</v>
      </c>
      <c r="AD22" s="25" t="s">
        <v>32</v>
      </c>
    </row>
    <row r="23" spans="1:30" s="25" customFormat="1" ht="12.95" customHeight="1">
      <c r="A23" s="50" t="s">
        <v>79</v>
      </c>
      <c r="B23" s="51" t="s">
        <v>47</v>
      </c>
      <c r="C23" s="52">
        <v>47567.328000000001</v>
      </c>
      <c r="D23" s="47"/>
      <c r="E23" s="25">
        <f t="shared" si="0"/>
        <v>1432.4382065361012</v>
      </c>
      <c r="F23" s="25">
        <f t="shared" si="1"/>
        <v>1432.5</v>
      </c>
      <c r="G23" s="25">
        <f t="shared" si="2"/>
        <v>-0.21044999999867287</v>
      </c>
      <c r="I23" s="25">
        <f>+G23</f>
        <v>-0.21044999999867287</v>
      </c>
      <c r="O23" s="25">
        <f t="shared" ca="1" si="3"/>
        <v>-0.20242554657210093</v>
      </c>
      <c r="Q23" s="48">
        <f t="shared" si="4"/>
        <v>32548.828000000001</v>
      </c>
    </row>
    <row r="24" spans="1:30" s="25" customFormat="1" ht="12.95" customHeight="1">
      <c r="A24" s="50" t="s">
        <v>79</v>
      </c>
      <c r="B24" s="51" t="s">
        <v>43</v>
      </c>
      <c r="C24" s="52">
        <v>47783.553</v>
      </c>
      <c r="D24" s="47"/>
      <c r="E24" s="25">
        <f t="shared" si="0"/>
        <v>1495.9273570778396</v>
      </c>
      <c r="F24" s="25">
        <f t="shared" si="1"/>
        <v>1496</v>
      </c>
      <c r="G24" s="25">
        <f t="shared" si="2"/>
        <v>-0.24740000000019791</v>
      </c>
      <c r="I24" s="25">
        <f>+G24</f>
        <v>-0.24740000000019791</v>
      </c>
      <c r="O24" s="25">
        <f t="shared" ca="1" si="3"/>
        <v>-0.21137784920629979</v>
      </c>
      <c r="Q24" s="48">
        <f t="shared" si="4"/>
        <v>32765.053</v>
      </c>
    </row>
    <row r="25" spans="1:30" s="25" customFormat="1" ht="12.95" customHeight="1">
      <c r="A25" s="50" t="s">
        <v>87</v>
      </c>
      <c r="B25" s="51" t="s">
        <v>47</v>
      </c>
      <c r="C25" s="52">
        <v>51572.315000000002</v>
      </c>
      <c r="D25" s="47"/>
      <c r="E25" s="25">
        <f t="shared" si="0"/>
        <v>2608.4040872654668</v>
      </c>
      <c r="F25" s="25">
        <f t="shared" si="1"/>
        <v>2608.5</v>
      </c>
      <c r="G25" s="25">
        <f t="shared" si="2"/>
        <v>-0.32665000000270084</v>
      </c>
      <c r="I25" s="25">
        <f>+G25</f>
        <v>-0.32665000000270084</v>
      </c>
      <c r="O25" s="25">
        <f t="shared" ca="1" si="3"/>
        <v>-0.36821937173458663</v>
      </c>
      <c r="Q25" s="48">
        <f t="shared" si="4"/>
        <v>36553.815000000002</v>
      </c>
    </row>
    <row r="26" spans="1:30" s="25" customFormat="1" ht="12.95" customHeight="1">
      <c r="A26" s="50" t="s">
        <v>87</v>
      </c>
      <c r="B26" s="51" t="s">
        <v>43</v>
      </c>
      <c r="C26" s="52">
        <v>51577.402000000002</v>
      </c>
      <c r="D26" s="47"/>
      <c r="E26" s="25">
        <f t="shared" si="0"/>
        <v>2609.8977596382538</v>
      </c>
      <c r="F26" s="25">
        <f t="shared" si="1"/>
        <v>2610</v>
      </c>
      <c r="G26" s="25">
        <f t="shared" si="2"/>
        <v>-0.34820000000036089</v>
      </c>
      <c r="I26" s="25">
        <f>+G26</f>
        <v>-0.34820000000036089</v>
      </c>
      <c r="O26" s="25">
        <f t="shared" ca="1" si="3"/>
        <v>-0.36843084345035509</v>
      </c>
      <c r="Q26" s="48">
        <f t="shared" si="4"/>
        <v>36558.902000000002</v>
      </c>
    </row>
    <row r="27" spans="1:30" s="25" customFormat="1" ht="12.95" customHeight="1">
      <c r="A27" s="50" t="s">
        <v>95</v>
      </c>
      <c r="B27" s="51" t="s">
        <v>43</v>
      </c>
      <c r="C27" s="52">
        <v>53682.474000000002</v>
      </c>
      <c r="D27" s="47"/>
      <c r="E27" s="25">
        <f t="shared" si="0"/>
        <v>3228.0003523504715</v>
      </c>
      <c r="F27" s="25">
        <f t="shared" si="1"/>
        <v>3228</v>
      </c>
      <c r="O27" s="25">
        <f t="shared" ca="1" si="3"/>
        <v>-0.45555719034696746</v>
      </c>
      <c r="Q27" s="48">
        <f t="shared" si="4"/>
        <v>38663.974000000002</v>
      </c>
      <c r="U27" s="25">
        <f>+C27-(C$7+F27*C$8)</f>
        <v>1.1999999987892807E-3</v>
      </c>
    </row>
    <row r="28" spans="1:30" s="25" customFormat="1" ht="12.95" customHeight="1">
      <c r="A28" s="19" t="s">
        <v>42</v>
      </c>
      <c r="B28" s="20" t="s">
        <v>43</v>
      </c>
      <c r="C28" s="19">
        <v>54516.3894</v>
      </c>
      <c r="D28" s="19">
        <v>4.0000000000000002E-4</v>
      </c>
      <c r="E28" s="25">
        <f t="shared" si="0"/>
        <v>3472.8590891740314</v>
      </c>
      <c r="F28" s="25">
        <f t="shared" si="1"/>
        <v>3473</v>
      </c>
      <c r="G28" s="25">
        <f t="shared" ref="G28:G33" si="5">+C28-(C$7+F28*C$8)</f>
        <v>-0.47990000000572763</v>
      </c>
      <c r="J28" s="25">
        <f>+G28</f>
        <v>-0.47990000000572763</v>
      </c>
      <c r="O28" s="25">
        <f t="shared" ca="1" si="3"/>
        <v>-0.49009757058915199</v>
      </c>
      <c r="Q28" s="48">
        <f t="shared" si="4"/>
        <v>39497.8894</v>
      </c>
    </row>
    <row r="29" spans="1:30" s="25" customFormat="1" ht="12.95" customHeight="1">
      <c r="A29" s="19" t="s">
        <v>46</v>
      </c>
      <c r="B29" s="20" t="s">
        <v>43</v>
      </c>
      <c r="C29" s="19">
        <v>55255.353569999999</v>
      </c>
      <c r="D29" s="19">
        <v>3.79E-3</v>
      </c>
      <c r="E29" s="25">
        <f t="shared" si="0"/>
        <v>3689.8377337992183</v>
      </c>
      <c r="F29" s="25">
        <f t="shared" si="1"/>
        <v>3690</v>
      </c>
      <c r="G29" s="25">
        <f t="shared" si="5"/>
        <v>-0.55262999999831663</v>
      </c>
      <c r="K29" s="25">
        <f t="shared" ref="K29:K35" si="6">+G29</f>
        <v>-0.55262999999831663</v>
      </c>
      <c r="O29" s="25">
        <f t="shared" ca="1" si="3"/>
        <v>-0.52069047880365826</v>
      </c>
      <c r="Q29" s="48">
        <f t="shared" si="4"/>
        <v>40236.853569999999</v>
      </c>
    </row>
    <row r="30" spans="1:30" s="25" customFormat="1" ht="12.95" customHeight="1">
      <c r="A30" s="19" t="s">
        <v>46</v>
      </c>
      <c r="B30" s="20" t="s">
        <v>43</v>
      </c>
      <c r="C30" s="19">
        <v>55599.34852</v>
      </c>
      <c r="D30" s="19">
        <v>9.3000000000000005E-4</v>
      </c>
      <c r="E30" s="25">
        <f t="shared" si="0"/>
        <v>3790.8433860880282</v>
      </c>
      <c r="F30" s="25">
        <f t="shared" si="1"/>
        <v>3791</v>
      </c>
      <c r="G30" s="25">
        <f t="shared" si="5"/>
        <v>-0.53338000000076136</v>
      </c>
      <c r="K30" s="25">
        <f t="shared" si="6"/>
        <v>-0.53338000000076136</v>
      </c>
      <c r="O30" s="25">
        <f t="shared" ca="1" si="3"/>
        <v>-0.534929574332069</v>
      </c>
      <c r="Q30" s="48">
        <f t="shared" si="4"/>
        <v>40580.84852</v>
      </c>
    </row>
    <row r="31" spans="1:30" s="25" customFormat="1" ht="12.95" customHeight="1">
      <c r="A31" s="19" t="s">
        <v>46</v>
      </c>
      <c r="B31" s="20" t="s">
        <v>43</v>
      </c>
      <c r="C31" s="19">
        <v>55616.391629999998</v>
      </c>
      <c r="D31" s="19">
        <v>2.5600000000000002E-3</v>
      </c>
      <c r="E31" s="25">
        <f t="shared" si="0"/>
        <v>3795.8476759550158</v>
      </c>
      <c r="F31" s="25">
        <f t="shared" si="1"/>
        <v>3796</v>
      </c>
      <c r="G31" s="25">
        <f t="shared" si="5"/>
        <v>-0.51877000000240514</v>
      </c>
      <c r="K31" s="25">
        <f t="shared" si="6"/>
        <v>-0.51877000000240514</v>
      </c>
      <c r="O31" s="25">
        <f t="shared" ca="1" si="3"/>
        <v>-0.53563448005129732</v>
      </c>
      <c r="Q31" s="48">
        <f t="shared" si="4"/>
        <v>40597.891629999998</v>
      </c>
    </row>
    <row r="32" spans="1:30">
      <c r="A32" s="19" t="s">
        <v>46</v>
      </c>
      <c r="B32" s="20" t="s">
        <v>47</v>
      </c>
      <c r="C32" s="19">
        <v>55645.32473</v>
      </c>
      <c r="D32" s="19">
        <v>2.0200000000000001E-3</v>
      </c>
      <c r="E32">
        <f t="shared" si="0"/>
        <v>3804.3431688052378</v>
      </c>
      <c r="F32">
        <f t="shared" si="1"/>
        <v>3804.5</v>
      </c>
      <c r="G32">
        <f t="shared" si="5"/>
        <v>-0.53412000000389526</v>
      </c>
      <c r="K32">
        <f t="shared" si="6"/>
        <v>-0.53412000000389526</v>
      </c>
      <c r="O32">
        <f t="shared" ca="1" si="3"/>
        <v>-0.53683281977398534</v>
      </c>
      <c r="Q32" s="2">
        <f t="shared" si="4"/>
        <v>40626.82473</v>
      </c>
    </row>
    <row r="33" spans="1:17">
      <c r="A33" s="19" t="s">
        <v>46</v>
      </c>
      <c r="B33" s="20" t="s">
        <v>43</v>
      </c>
      <c r="C33" s="19">
        <v>55878.606679999997</v>
      </c>
      <c r="D33" s="19">
        <v>6.4000000000000005E-4</v>
      </c>
      <c r="E33">
        <f t="shared" si="0"/>
        <v>3872.8406729893986</v>
      </c>
      <c r="F33">
        <f t="shared" si="1"/>
        <v>3873</v>
      </c>
      <c r="G33">
        <f t="shared" si="5"/>
        <v>-0.54262000000744592</v>
      </c>
      <c r="K33">
        <f t="shared" si="6"/>
        <v>-0.54262000000744592</v>
      </c>
      <c r="O33">
        <f t="shared" ca="1" si="3"/>
        <v>-0.54649002812741243</v>
      </c>
      <c r="Q33" s="2">
        <f t="shared" si="4"/>
        <v>40860.106679999997</v>
      </c>
    </row>
    <row r="34" spans="1:17">
      <c r="A34" s="21" t="s">
        <v>0</v>
      </c>
      <c r="B34" s="22" t="s">
        <v>43</v>
      </c>
      <c r="C34" s="23">
        <v>57755.037300000004</v>
      </c>
      <c r="D34" s="24" t="s">
        <v>129</v>
      </c>
      <c r="E34">
        <f>+(C34-C$7)/C$8</f>
        <v>4423.8083507061692</v>
      </c>
      <c r="F34">
        <f t="shared" si="1"/>
        <v>4424</v>
      </c>
      <c r="G34">
        <f>+C34-(C$7+F34*C$8)</f>
        <v>-0.65269999999873107</v>
      </c>
      <c r="K34">
        <f t="shared" si="6"/>
        <v>-0.65269999999873107</v>
      </c>
      <c r="O34">
        <f ca="1">+C$11+C$12*$F34</f>
        <v>-0.62417063838636622</v>
      </c>
      <c r="Q34" s="2">
        <f>+C34-15018.5</f>
        <v>42736.537300000004</v>
      </c>
    </row>
    <row r="35" spans="1:17">
      <c r="A35" s="21" t="s">
        <v>0</v>
      </c>
      <c r="B35" s="22" t="s">
        <v>47</v>
      </c>
      <c r="C35" s="23">
        <v>57766.988799999999</v>
      </c>
      <c r="D35" s="24" t="s">
        <v>129</v>
      </c>
      <c r="E35">
        <f>+(C35-C$7)/C$8</f>
        <v>4427.3176145873085</v>
      </c>
      <c r="F35">
        <f t="shared" si="1"/>
        <v>4427.5</v>
      </c>
      <c r="G35">
        <f>+C35-(C$7+F35*C$8)</f>
        <v>-0.62114999999903375</v>
      </c>
      <c r="K35">
        <f t="shared" si="6"/>
        <v>-0.62114999999903375</v>
      </c>
      <c r="O35">
        <f ca="1">+C$11+C$12*$F35</f>
        <v>-0.62466407238982591</v>
      </c>
      <c r="Q35" s="2">
        <f>+C35-15018.5</f>
        <v>42748.488799999999</v>
      </c>
    </row>
    <row r="38" spans="1:17">
      <c r="C38" s="3"/>
      <c r="D38" s="3"/>
    </row>
    <row r="39" spans="1:17">
      <c r="C39" s="3"/>
      <c r="D39" s="3"/>
    </row>
    <row r="40" spans="1:17">
      <c r="C40" s="3"/>
      <c r="D40" s="3"/>
    </row>
    <row r="41" spans="1:17">
      <c r="C41" s="3"/>
      <c r="D41" s="3"/>
    </row>
    <row r="42" spans="1:17">
      <c r="C42" s="3"/>
      <c r="D42" s="3"/>
    </row>
    <row r="43" spans="1:17">
      <c r="C43" s="3"/>
      <c r="D43" s="3"/>
    </row>
    <row r="44" spans="1:17">
      <c r="C44" s="3"/>
      <c r="D44" s="3"/>
    </row>
    <row r="45" spans="1:17">
      <c r="C45" s="3"/>
      <c r="D45" s="3"/>
    </row>
    <row r="46" spans="1:17">
      <c r="C46" s="3"/>
      <c r="D46" s="3"/>
    </row>
    <row r="47" spans="1:17">
      <c r="C47" s="3"/>
      <c r="D47" s="3"/>
    </row>
    <row r="48" spans="1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8" type="noConversion"/>
  <hyperlinks>
    <hyperlink ref="H62812" r:id="rId1" display="http://vsolj.cetus-net.org/bulletin.html"/>
    <hyperlink ref="H62805" r:id="rId2" display="http://vsolj.cetus-net.org/bulletin.html"/>
    <hyperlink ref="AP302" r:id="rId3" display="http://cdsbib.u-strasbg.fr/cgi-bin/cdsbib?1990RMxAA..21..381G"/>
    <hyperlink ref="AP305" r:id="rId4" display="http://cdsbib.u-strasbg.fr/cgi-bin/cdsbib?1990RMxAA..21..381G"/>
    <hyperlink ref="AP303" r:id="rId5" display="http://cdsbib.u-strasbg.fr/cgi-bin/cdsbib?1990RMxAA..21..381G"/>
    <hyperlink ref="AP281" r:id="rId6" display="http://cdsbib.u-strasbg.fr/cgi-bin/cdsbib?1990RMxAA..21..381G"/>
    <hyperlink ref="I62812" r:id="rId7" display="http://vsolj.cetus-net.org/bulletin.html"/>
    <hyperlink ref="AQ415" r:id="rId8" display="http://cdsbib.u-strasbg.fr/cgi-bin/cdsbib?1990RMxAA..21..381G"/>
    <hyperlink ref="AQ64220" r:id="rId9" display="http://cdsbib.u-strasbg.fr/cgi-bin/cdsbib?1990RMxAA..21..381G"/>
    <hyperlink ref="AQ416" r:id="rId10" display="http://cdsbib.u-strasbg.fr/cgi-bin/cdsbib?1990RMxAA..21..381G"/>
    <hyperlink ref="H62809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6"/>
  <sheetViews>
    <sheetView topLeftCell="A2" workbookViewId="0">
      <selection activeCell="A20" sqref="A20:C24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6" t="s">
        <v>48</v>
      </c>
      <c r="I1" s="7" t="s">
        <v>49</v>
      </c>
      <c r="J1" s="8" t="s">
        <v>50</v>
      </c>
    </row>
    <row r="2" spans="1:16">
      <c r="I2" s="9" t="s">
        <v>51</v>
      </c>
      <c r="J2" s="10" t="s">
        <v>52</v>
      </c>
    </row>
    <row r="3" spans="1:16">
      <c r="A3" s="11" t="s">
        <v>53</v>
      </c>
      <c r="I3" s="9" t="s">
        <v>54</v>
      </c>
      <c r="J3" s="10" t="s">
        <v>55</v>
      </c>
    </row>
    <row r="4" spans="1:16">
      <c r="I4" s="9" t="s">
        <v>56</v>
      </c>
      <c r="J4" s="10" t="s">
        <v>55</v>
      </c>
    </row>
    <row r="5" spans="1:16" ht="13.5" thickBot="1">
      <c r="I5" s="12" t="s">
        <v>57</v>
      </c>
      <c r="J5" s="13" t="s">
        <v>58</v>
      </c>
    </row>
    <row r="10" spans="1:16" ht="13.5" thickBot="1"/>
    <row r="11" spans="1:16" ht="12.75" customHeight="1" thickBot="1">
      <c r="A11" s="3" t="str">
        <f t="shared" ref="A11:A24" si="0">P11</f>
        <v> AAPS 29.314 </v>
      </c>
      <c r="B11" s="5" t="str">
        <f t="shared" ref="B11:B24" si="1">IF(H11=INT(H11),"I","II")</f>
        <v>I</v>
      </c>
      <c r="C11" s="3">
        <f t="shared" ref="C11:C24" si="2">1*G11</f>
        <v>42688.873200000002</v>
      </c>
      <c r="D11" s="4" t="str">
        <f t="shared" ref="D11:D24" si="3">VLOOKUP(F11,I$1:J$5,2,FALSE)</f>
        <v>vis</v>
      </c>
      <c r="E11" s="14">
        <f>VLOOKUP(C11,Active!C$21:E$973,3,FALSE)</f>
        <v>0</v>
      </c>
      <c r="F11" s="5" t="s">
        <v>57</v>
      </c>
      <c r="G11" s="4" t="str">
        <f t="shared" ref="G11:G24" si="4">MID(I11,3,LEN(I11)-3)</f>
        <v>42688.8732</v>
      </c>
      <c r="H11" s="3">
        <f t="shared" ref="H11:H24" si="5">1*K11</f>
        <v>0</v>
      </c>
      <c r="I11" s="15" t="s">
        <v>59</v>
      </c>
      <c r="J11" s="16" t="s">
        <v>60</v>
      </c>
      <c r="K11" s="15">
        <v>0</v>
      </c>
      <c r="L11" s="15" t="s">
        <v>61</v>
      </c>
      <c r="M11" s="16" t="s">
        <v>62</v>
      </c>
      <c r="N11" s="16" t="s">
        <v>63</v>
      </c>
      <c r="O11" s="17" t="s">
        <v>64</v>
      </c>
      <c r="P11" s="17" t="s">
        <v>65</v>
      </c>
    </row>
    <row r="12" spans="1:16" ht="12.75" customHeight="1" thickBot="1">
      <c r="A12" s="3" t="str">
        <f t="shared" si="0"/>
        <v> AAP 228.370 </v>
      </c>
      <c r="B12" s="5" t="str">
        <f t="shared" si="1"/>
        <v>II</v>
      </c>
      <c r="C12" s="3">
        <f t="shared" si="2"/>
        <v>44655.586600000002</v>
      </c>
      <c r="D12" s="4" t="str">
        <f t="shared" si="3"/>
        <v>vis</v>
      </c>
      <c r="E12" s="14">
        <f>VLOOKUP(C12,Active!C$21:E$973,3,FALSE)</f>
        <v>577.47699445048022</v>
      </c>
      <c r="F12" s="5" t="s">
        <v>57</v>
      </c>
      <c r="G12" s="4" t="str">
        <f t="shared" si="4"/>
        <v>44655.5866</v>
      </c>
      <c r="H12" s="3">
        <f t="shared" si="5"/>
        <v>577.5</v>
      </c>
      <c r="I12" s="15" t="s">
        <v>71</v>
      </c>
      <c r="J12" s="16" t="s">
        <v>72</v>
      </c>
      <c r="K12" s="15">
        <v>577.5</v>
      </c>
      <c r="L12" s="15" t="s">
        <v>73</v>
      </c>
      <c r="M12" s="16" t="s">
        <v>62</v>
      </c>
      <c r="N12" s="16" t="s">
        <v>63</v>
      </c>
      <c r="O12" s="17" t="s">
        <v>69</v>
      </c>
      <c r="P12" s="17" t="s">
        <v>70</v>
      </c>
    </row>
    <row r="13" spans="1:16" ht="12.75" customHeight="1" thickBot="1">
      <c r="A13" s="3" t="str">
        <f t="shared" si="0"/>
        <v>BAVM 201 </v>
      </c>
      <c r="B13" s="5" t="str">
        <f t="shared" si="1"/>
        <v>I</v>
      </c>
      <c r="C13" s="3">
        <f t="shared" si="2"/>
        <v>54516.3894</v>
      </c>
      <c r="D13" s="4" t="str">
        <f t="shared" si="3"/>
        <v>vis</v>
      </c>
      <c r="E13" s="14">
        <f>VLOOKUP(C13,Active!C$21:E$973,3,FALSE)</f>
        <v>3472.8590891740314</v>
      </c>
      <c r="F13" s="5" t="s">
        <v>57</v>
      </c>
      <c r="G13" s="4" t="str">
        <f t="shared" si="4"/>
        <v>54516.3894</v>
      </c>
      <c r="H13" s="3">
        <f t="shared" si="5"/>
        <v>3473</v>
      </c>
      <c r="I13" s="15" t="s">
        <v>96</v>
      </c>
      <c r="J13" s="16" t="s">
        <v>97</v>
      </c>
      <c r="K13" s="15">
        <v>3473</v>
      </c>
      <c r="L13" s="15" t="s">
        <v>98</v>
      </c>
      <c r="M13" s="16" t="s">
        <v>99</v>
      </c>
      <c r="N13" s="16" t="s">
        <v>100</v>
      </c>
      <c r="O13" s="17" t="s">
        <v>101</v>
      </c>
      <c r="P13" s="18" t="s">
        <v>102</v>
      </c>
    </row>
    <row r="14" spans="1:16" ht="12.75" customHeight="1" thickBot="1">
      <c r="A14" s="3" t="str">
        <f t="shared" si="0"/>
        <v>IBVS 6007 </v>
      </c>
      <c r="B14" s="5" t="str">
        <f t="shared" si="1"/>
        <v>I</v>
      </c>
      <c r="C14" s="3">
        <f t="shared" si="2"/>
        <v>55255.353569999999</v>
      </c>
      <c r="D14" s="4" t="str">
        <f t="shared" si="3"/>
        <v>vis</v>
      </c>
      <c r="E14" s="14">
        <f>VLOOKUP(C14,Active!C$21:E$973,3,FALSE)</f>
        <v>3689.8377337992183</v>
      </c>
      <c r="F14" s="5" t="s">
        <v>57</v>
      </c>
      <c r="G14" s="4" t="str">
        <f t="shared" si="4"/>
        <v>55255.35357</v>
      </c>
      <c r="H14" s="3">
        <f t="shared" si="5"/>
        <v>3690</v>
      </c>
      <c r="I14" s="15" t="s">
        <v>103</v>
      </c>
      <c r="J14" s="16" t="s">
        <v>104</v>
      </c>
      <c r="K14" s="15" t="s">
        <v>105</v>
      </c>
      <c r="L14" s="15" t="s">
        <v>106</v>
      </c>
      <c r="M14" s="16" t="s">
        <v>99</v>
      </c>
      <c r="N14" s="16" t="s">
        <v>107</v>
      </c>
      <c r="O14" s="17" t="s">
        <v>108</v>
      </c>
      <c r="P14" s="18" t="s">
        <v>109</v>
      </c>
    </row>
    <row r="15" spans="1:16" ht="12.75" customHeight="1" thickBot="1">
      <c r="A15" s="3" t="str">
        <f t="shared" si="0"/>
        <v>IBVS 6007 </v>
      </c>
      <c r="B15" s="5" t="str">
        <f t="shared" si="1"/>
        <v>I</v>
      </c>
      <c r="C15" s="3">
        <f t="shared" si="2"/>
        <v>55599.34852</v>
      </c>
      <c r="D15" s="4" t="str">
        <f t="shared" si="3"/>
        <v>vis</v>
      </c>
      <c r="E15" s="14">
        <f>VLOOKUP(C15,Active!C$21:E$973,3,FALSE)</f>
        <v>3790.8433860880282</v>
      </c>
      <c r="F15" s="5" t="s">
        <v>57</v>
      </c>
      <c r="G15" s="4" t="str">
        <f t="shared" si="4"/>
        <v>55599.34852</v>
      </c>
      <c r="H15" s="3">
        <f t="shared" si="5"/>
        <v>3791</v>
      </c>
      <c r="I15" s="15" t="s">
        <v>110</v>
      </c>
      <c r="J15" s="16" t="s">
        <v>111</v>
      </c>
      <c r="K15" s="15" t="s">
        <v>112</v>
      </c>
      <c r="L15" s="15" t="s">
        <v>113</v>
      </c>
      <c r="M15" s="16" t="s">
        <v>99</v>
      </c>
      <c r="N15" s="16" t="s">
        <v>114</v>
      </c>
      <c r="O15" s="17" t="s">
        <v>108</v>
      </c>
      <c r="P15" s="18" t="s">
        <v>109</v>
      </c>
    </row>
    <row r="16" spans="1:16" ht="12.75" customHeight="1" thickBot="1">
      <c r="A16" s="3" t="str">
        <f t="shared" si="0"/>
        <v>IBVS 6007 </v>
      </c>
      <c r="B16" s="5" t="str">
        <f t="shared" si="1"/>
        <v>I</v>
      </c>
      <c r="C16" s="3">
        <f t="shared" si="2"/>
        <v>55616.391629999998</v>
      </c>
      <c r="D16" s="4" t="str">
        <f t="shared" si="3"/>
        <v>vis</v>
      </c>
      <c r="E16" s="14">
        <f>VLOOKUP(C16,Active!C$21:E$973,3,FALSE)</f>
        <v>3795.8476759550158</v>
      </c>
      <c r="F16" s="5" t="s">
        <v>57</v>
      </c>
      <c r="G16" s="4" t="str">
        <f t="shared" si="4"/>
        <v>55616.39163</v>
      </c>
      <c r="H16" s="3">
        <f t="shared" si="5"/>
        <v>3796</v>
      </c>
      <c r="I16" s="15" t="s">
        <v>115</v>
      </c>
      <c r="J16" s="16" t="s">
        <v>116</v>
      </c>
      <c r="K16" s="15" t="s">
        <v>117</v>
      </c>
      <c r="L16" s="15" t="s">
        <v>118</v>
      </c>
      <c r="M16" s="16" t="s">
        <v>99</v>
      </c>
      <c r="N16" s="16" t="s">
        <v>49</v>
      </c>
      <c r="O16" s="17" t="s">
        <v>108</v>
      </c>
      <c r="P16" s="18" t="s">
        <v>109</v>
      </c>
    </row>
    <row r="17" spans="1:16" ht="12.75" customHeight="1" thickBot="1">
      <c r="A17" s="3" t="str">
        <f t="shared" si="0"/>
        <v>IBVS 6007 </v>
      </c>
      <c r="B17" s="5" t="str">
        <f t="shared" si="1"/>
        <v>II</v>
      </c>
      <c r="C17" s="3">
        <f t="shared" si="2"/>
        <v>55645.32473</v>
      </c>
      <c r="D17" s="4" t="str">
        <f t="shared" si="3"/>
        <v>vis</v>
      </c>
      <c r="E17" s="14">
        <f>VLOOKUP(C17,Active!C$21:E$973,3,FALSE)</f>
        <v>3804.3431688052378</v>
      </c>
      <c r="F17" s="5" t="s">
        <v>57</v>
      </c>
      <c r="G17" s="4" t="str">
        <f t="shared" si="4"/>
        <v>55645.32473</v>
      </c>
      <c r="H17" s="3">
        <f t="shared" si="5"/>
        <v>3804.5</v>
      </c>
      <c r="I17" s="15" t="s">
        <v>119</v>
      </c>
      <c r="J17" s="16" t="s">
        <v>120</v>
      </c>
      <c r="K17" s="15" t="s">
        <v>121</v>
      </c>
      <c r="L17" s="15" t="s">
        <v>122</v>
      </c>
      <c r="M17" s="16" t="s">
        <v>99</v>
      </c>
      <c r="N17" s="16" t="s">
        <v>114</v>
      </c>
      <c r="O17" s="17" t="s">
        <v>108</v>
      </c>
      <c r="P17" s="18" t="s">
        <v>109</v>
      </c>
    </row>
    <row r="18" spans="1:16" ht="12.75" customHeight="1" thickBot="1">
      <c r="A18" s="3" t="str">
        <f t="shared" si="0"/>
        <v>IBVS 6007 </v>
      </c>
      <c r="B18" s="5" t="str">
        <f t="shared" si="1"/>
        <v>I</v>
      </c>
      <c r="C18" s="3">
        <f t="shared" si="2"/>
        <v>55878.606679999997</v>
      </c>
      <c r="D18" s="4" t="str">
        <f t="shared" si="3"/>
        <v>vis</v>
      </c>
      <c r="E18" s="14">
        <f>VLOOKUP(C18,Active!C$21:E$973,3,FALSE)</f>
        <v>3872.8406729893986</v>
      </c>
      <c r="F18" s="5" t="s">
        <v>57</v>
      </c>
      <c r="G18" s="4" t="str">
        <f t="shared" si="4"/>
        <v>55878.60668</v>
      </c>
      <c r="H18" s="3">
        <f t="shared" si="5"/>
        <v>3873</v>
      </c>
      <c r="I18" s="15" t="s">
        <v>123</v>
      </c>
      <c r="J18" s="16" t="s">
        <v>124</v>
      </c>
      <c r="K18" s="15" t="s">
        <v>125</v>
      </c>
      <c r="L18" s="15" t="s">
        <v>126</v>
      </c>
      <c r="M18" s="16" t="s">
        <v>99</v>
      </c>
      <c r="N18" s="16" t="s">
        <v>127</v>
      </c>
      <c r="O18" s="17" t="s">
        <v>108</v>
      </c>
      <c r="P18" s="18" t="s">
        <v>109</v>
      </c>
    </row>
    <row r="19" spans="1:16" ht="12.75" customHeight="1" thickBot="1">
      <c r="A19" s="3" t="str">
        <f t="shared" si="0"/>
        <v> AAP 228.370 </v>
      </c>
      <c r="B19" s="5" t="str">
        <f t="shared" si="1"/>
        <v>I</v>
      </c>
      <c r="C19" s="3">
        <f t="shared" si="2"/>
        <v>44643.665699999998</v>
      </c>
      <c r="D19" s="4" t="str">
        <f t="shared" si="3"/>
        <v>vis</v>
      </c>
      <c r="E19" s="14" t="e">
        <f>VLOOKUP(C19,Active!C$21:E$973,3,FALSE)</f>
        <v>#N/A</v>
      </c>
      <c r="F19" s="5" t="s">
        <v>57</v>
      </c>
      <c r="G19" s="4" t="str">
        <f t="shared" si="4"/>
        <v>44643.6657</v>
      </c>
      <c r="H19" s="3">
        <f t="shared" si="5"/>
        <v>574</v>
      </c>
      <c r="I19" s="15" t="s">
        <v>66</v>
      </c>
      <c r="J19" s="16" t="s">
        <v>67</v>
      </c>
      <c r="K19" s="15">
        <v>574</v>
      </c>
      <c r="L19" s="15" t="s">
        <v>68</v>
      </c>
      <c r="M19" s="16" t="s">
        <v>62</v>
      </c>
      <c r="N19" s="16" t="s">
        <v>63</v>
      </c>
      <c r="O19" s="17" t="s">
        <v>69</v>
      </c>
      <c r="P19" s="17" t="s">
        <v>70</v>
      </c>
    </row>
    <row r="20" spans="1:16" ht="12.75" customHeight="1" thickBot="1">
      <c r="A20" s="3" t="str">
        <f t="shared" si="0"/>
        <v> VSSC 73 </v>
      </c>
      <c r="B20" s="5" t="str">
        <f t="shared" si="1"/>
        <v>II</v>
      </c>
      <c r="C20" s="3">
        <f t="shared" si="2"/>
        <v>47567.328000000001</v>
      </c>
      <c r="D20" s="4" t="str">
        <f t="shared" si="3"/>
        <v>vis</v>
      </c>
      <c r="E20" s="14">
        <f>VLOOKUP(C20,Active!C$21:E$973,3,FALSE)</f>
        <v>1432.4382065361012</v>
      </c>
      <c r="F20" s="5" t="s">
        <v>57</v>
      </c>
      <c r="G20" s="4" t="str">
        <f t="shared" si="4"/>
        <v>47567.328</v>
      </c>
      <c r="H20" s="3">
        <f t="shared" si="5"/>
        <v>1432.5</v>
      </c>
      <c r="I20" s="15" t="s">
        <v>74</v>
      </c>
      <c r="J20" s="16" t="s">
        <v>75</v>
      </c>
      <c r="K20" s="15">
        <v>1432.5</v>
      </c>
      <c r="L20" s="15" t="s">
        <v>76</v>
      </c>
      <c r="M20" s="16" t="s">
        <v>77</v>
      </c>
      <c r="N20" s="16"/>
      <c r="O20" s="17" t="s">
        <v>78</v>
      </c>
      <c r="P20" s="17" t="s">
        <v>79</v>
      </c>
    </row>
    <row r="21" spans="1:16" ht="12.75" customHeight="1" thickBot="1">
      <c r="A21" s="3" t="str">
        <f t="shared" si="0"/>
        <v> VSSC 73 </v>
      </c>
      <c r="B21" s="5" t="str">
        <f t="shared" si="1"/>
        <v>I</v>
      </c>
      <c r="C21" s="3">
        <f t="shared" si="2"/>
        <v>47783.553</v>
      </c>
      <c r="D21" s="4" t="str">
        <f t="shared" si="3"/>
        <v>vis</v>
      </c>
      <c r="E21" s="14">
        <f>VLOOKUP(C21,Active!C$21:E$973,3,FALSE)</f>
        <v>1495.9273570778396</v>
      </c>
      <c r="F21" s="5" t="s">
        <v>57</v>
      </c>
      <c r="G21" s="4" t="str">
        <f t="shared" si="4"/>
        <v>47783.553</v>
      </c>
      <c r="H21" s="3">
        <f t="shared" si="5"/>
        <v>1496</v>
      </c>
      <c r="I21" s="15" t="s">
        <v>80</v>
      </c>
      <c r="J21" s="16" t="s">
        <v>81</v>
      </c>
      <c r="K21" s="15">
        <v>1496</v>
      </c>
      <c r="L21" s="15" t="s">
        <v>82</v>
      </c>
      <c r="M21" s="16" t="s">
        <v>77</v>
      </c>
      <c r="N21" s="16"/>
      <c r="O21" s="17" t="s">
        <v>78</v>
      </c>
      <c r="P21" s="17" t="s">
        <v>79</v>
      </c>
    </row>
    <row r="22" spans="1:16" ht="12.75" customHeight="1" thickBot="1">
      <c r="A22" s="3" t="str">
        <f t="shared" si="0"/>
        <v> BBS 122 </v>
      </c>
      <c r="B22" s="5" t="str">
        <f t="shared" si="1"/>
        <v>II</v>
      </c>
      <c r="C22" s="3">
        <f t="shared" si="2"/>
        <v>51572.315000000002</v>
      </c>
      <c r="D22" s="4" t="str">
        <f t="shared" si="3"/>
        <v>vis</v>
      </c>
      <c r="E22" s="14">
        <f>VLOOKUP(C22,Active!C$21:E$973,3,FALSE)</f>
        <v>2608.4040872654668</v>
      </c>
      <c r="F22" s="5" t="s">
        <v>57</v>
      </c>
      <c r="G22" s="4" t="str">
        <f t="shared" si="4"/>
        <v>51572.315</v>
      </c>
      <c r="H22" s="3">
        <f t="shared" si="5"/>
        <v>2608.5</v>
      </c>
      <c r="I22" s="15" t="s">
        <v>83</v>
      </c>
      <c r="J22" s="16" t="s">
        <v>84</v>
      </c>
      <c r="K22" s="15">
        <v>2608.5</v>
      </c>
      <c r="L22" s="15" t="s">
        <v>85</v>
      </c>
      <c r="M22" s="16" t="s">
        <v>77</v>
      </c>
      <c r="N22" s="16"/>
      <c r="O22" s="17" t="s">
        <v>86</v>
      </c>
      <c r="P22" s="17" t="s">
        <v>87</v>
      </c>
    </row>
    <row r="23" spans="1:16" ht="12.75" customHeight="1" thickBot="1">
      <c r="A23" s="3" t="str">
        <f t="shared" si="0"/>
        <v> BBS 122 </v>
      </c>
      <c r="B23" s="5" t="str">
        <f t="shared" si="1"/>
        <v>I</v>
      </c>
      <c r="C23" s="3">
        <f t="shared" si="2"/>
        <v>51577.402000000002</v>
      </c>
      <c r="D23" s="4" t="str">
        <f t="shared" si="3"/>
        <v>vis</v>
      </c>
      <c r="E23" s="14">
        <f>VLOOKUP(C23,Active!C$21:E$973,3,FALSE)</f>
        <v>2609.8977596382538</v>
      </c>
      <c r="F23" s="5" t="s">
        <v>57</v>
      </c>
      <c r="G23" s="4" t="str">
        <f t="shared" si="4"/>
        <v>51577.402</v>
      </c>
      <c r="H23" s="3">
        <f t="shared" si="5"/>
        <v>2610</v>
      </c>
      <c r="I23" s="15" t="s">
        <v>88</v>
      </c>
      <c r="J23" s="16" t="s">
        <v>89</v>
      </c>
      <c r="K23" s="15">
        <v>2610</v>
      </c>
      <c r="L23" s="15" t="s">
        <v>90</v>
      </c>
      <c r="M23" s="16" t="s">
        <v>77</v>
      </c>
      <c r="N23" s="16"/>
      <c r="O23" s="17" t="s">
        <v>86</v>
      </c>
      <c r="P23" s="17" t="s">
        <v>87</v>
      </c>
    </row>
    <row r="24" spans="1:16" ht="12.75" customHeight="1" thickBot="1">
      <c r="A24" s="3" t="str">
        <f t="shared" si="0"/>
        <v>BAVM 179 </v>
      </c>
      <c r="B24" s="5" t="str">
        <f t="shared" si="1"/>
        <v>I</v>
      </c>
      <c r="C24" s="3">
        <f t="shared" si="2"/>
        <v>53682.474000000002</v>
      </c>
      <c r="D24" s="4" t="str">
        <f t="shared" si="3"/>
        <v>vis</v>
      </c>
      <c r="E24" s="14">
        <f>VLOOKUP(C24,Active!C$21:E$973,3,FALSE)</f>
        <v>3228.0003523504715</v>
      </c>
      <c r="F24" s="5" t="s">
        <v>57</v>
      </c>
      <c r="G24" s="4" t="str">
        <f t="shared" si="4"/>
        <v>53682.474</v>
      </c>
      <c r="H24" s="3">
        <f t="shared" si="5"/>
        <v>3228</v>
      </c>
      <c r="I24" s="15" t="s">
        <v>91</v>
      </c>
      <c r="J24" s="16" t="s">
        <v>92</v>
      </c>
      <c r="K24" s="15">
        <v>3228</v>
      </c>
      <c r="L24" s="15" t="s">
        <v>93</v>
      </c>
      <c r="M24" s="16" t="s">
        <v>77</v>
      </c>
      <c r="N24" s="16"/>
      <c r="O24" s="17" t="s">
        <v>94</v>
      </c>
      <c r="P24" s="18" t="s">
        <v>95</v>
      </c>
    </row>
    <row r="25" spans="1:16">
      <c r="B25" s="5"/>
      <c r="E25" s="14"/>
      <c r="F25" s="5"/>
    </row>
    <row r="26" spans="1:16">
      <c r="B26" s="5"/>
      <c r="E26" s="14"/>
      <c r="F26" s="5"/>
    </row>
    <row r="27" spans="1:16">
      <c r="B27" s="5"/>
      <c r="E27" s="14"/>
      <c r="F27" s="5"/>
    </row>
    <row r="28" spans="1:16">
      <c r="B28" s="5"/>
      <c r="E28" s="14"/>
      <c r="F28" s="5"/>
    </row>
    <row r="29" spans="1:16">
      <c r="B29" s="5"/>
      <c r="E29" s="14"/>
      <c r="F29" s="5"/>
    </row>
    <row r="30" spans="1:16">
      <c r="B30" s="5"/>
      <c r="E30" s="14"/>
      <c r="F30" s="5"/>
    </row>
    <row r="31" spans="1:16">
      <c r="B31" s="5"/>
      <c r="E31" s="14"/>
      <c r="F31" s="5"/>
    </row>
    <row r="32" spans="1:16">
      <c r="B32" s="5"/>
      <c r="E32" s="14"/>
      <c r="F32" s="5"/>
    </row>
    <row r="33" spans="2:6">
      <c r="B33" s="5"/>
      <c r="E33" s="14"/>
      <c r="F33" s="5"/>
    </row>
    <row r="34" spans="2:6">
      <c r="B34" s="5"/>
      <c r="E34" s="14"/>
      <c r="F34" s="5"/>
    </row>
    <row r="35" spans="2:6">
      <c r="B35" s="5"/>
      <c r="E35" s="14"/>
      <c r="F35" s="5"/>
    </row>
    <row r="36" spans="2:6">
      <c r="B36" s="5"/>
      <c r="E36" s="14"/>
      <c r="F36" s="5"/>
    </row>
    <row r="37" spans="2:6">
      <c r="B37" s="5"/>
      <c r="E37" s="14"/>
      <c r="F37" s="5"/>
    </row>
    <row r="38" spans="2:6">
      <c r="B38" s="5"/>
      <c r="E38" s="14"/>
      <c r="F38" s="5"/>
    </row>
    <row r="39" spans="2:6">
      <c r="B39" s="5"/>
      <c r="E39" s="14"/>
      <c r="F39" s="5"/>
    </row>
    <row r="40" spans="2:6">
      <c r="B40" s="5"/>
      <c r="E40" s="14"/>
      <c r="F40" s="5"/>
    </row>
    <row r="41" spans="2:6">
      <c r="B41" s="5"/>
      <c r="E41" s="14"/>
      <c r="F41" s="5"/>
    </row>
    <row r="42" spans="2:6">
      <c r="B42" s="5"/>
      <c r="E42" s="14"/>
      <c r="F42" s="5"/>
    </row>
    <row r="43" spans="2:6">
      <c r="B43" s="5"/>
      <c r="E43" s="14"/>
      <c r="F43" s="5"/>
    </row>
    <row r="44" spans="2:6">
      <c r="B44" s="5"/>
      <c r="E44" s="14"/>
      <c r="F44" s="5"/>
    </row>
    <row r="45" spans="2:6">
      <c r="B45" s="5"/>
      <c r="E45" s="14"/>
      <c r="F45" s="5"/>
    </row>
    <row r="46" spans="2:6">
      <c r="B46" s="5"/>
      <c r="E46" s="14"/>
      <c r="F46" s="5"/>
    </row>
    <row r="47" spans="2:6">
      <c r="B47" s="5"/>
      <c r="E47" s="14"/>
      <c r="F47" s="5"/>
    </row>
    <row r="48" spans="2:6">
      <c r="B48" s="5"/>
      <c r="E48" s="14"/>
      <c r="F48" s="5"/>
    </row>
    <row r="49" spans="2:6">
      <c r="B49" s="5"/>
      <c r="E49" s="14"/>
      <c r="F49" s="5"/>
    </row>
    <row r="50" spans="2:6">
      <c r="B50" s="5"/>
      <c r="E50" s="14"/>
      <c r="F50" s="5"/>
    </row>
    <row r="51" spans="2:6">
      <c r="B51" s="5"/>
      <c r="E51" s="14"/>
      <c r="F51" s="5"/>
    </row>
    <row r="52" spans="2:6">
      <c r="B52" s="5"/>
      <c r="E52" s="14"/>
      <c r="F52" s="5"/>
    </row>
    <row r="53" spans="2:6">
      <c r="B53" s="5"/>
      <c r="E53" s="14"/>
      <c r="F53" s="5"/>
    </row>
    <row r="54" spans="2:6">
      <c r="B54" s="5"/>
      <c r="E54" s="14"/>
      <c r="F54" s="5"/>
    </row>
    <row r="55" spans="2:6">
      <c r="B55" s="5"/>
      <c r="E55" s="14"/>
      <c r="F55" s="5"/>
    </row>
    <row r="56" spans="2:6">
      <c r="B56" s="5"/>
      <c r="E56" s="14"/>
      <c r="F56" s="5"/>
    </row>
    <row r="57" spans="2:6">
      <c r="B57" s="5"/>
      <c r="E57" s="14"/>
      <c r="F57" s="5"/>
    </row>
    <row r="58" spans="2:6">
      <c r="B58" s="5"/>
      <c r="E58" s="14"/>
      <c r="F58" s="5"/>
    </row>
    <row r="59" spans="2:6">
      <c r="B59" s="5"/>
      <c r="E59" s="14"/>
      <c r="F59" s="5"/>
    </row>
    <row r="60" spans="2:6">
      <c r="B60" s="5"/>
      <c r="E60" s="14"/>
      <c r="F60" s="5"/>
    </row>
    <row r="61" spans="2:6">
      <c r="B61" s="5"/>
      <c r="E61" s="14"/>
      <c r="F61" s="5"/>
    </row>
    <row r="62" spans="2:6">
      <c r="B62" s="5"/>
      <c r="E62" s="14"/>
      <c r="F62" s="5"/>
    </row>
    <row r="63" spans="2:6">
      <c r="B63" s="5"/>
      <c r="E63" s="14"/>
      <c r="F63" s="5"/>
    </row>
    <row r="64" spans="2:6">
      <c r="B64" s="5"/>
      <c r="E64" s="14"/>
      <c r="F64" s="5"/>
    </row>
    <row r="65" spans="2:6">
      <c r="B65" s="5"/>
      <c r="E65" s="14"/>
      <c r="F65" s="5"/>
    </row>
    <row r="66" spans="2:6">
      <c r="B66" s="5"/>
      <c r="E66" s="14"/>
      <c r="F66" s="5"/>
    </row>
    <row r="67" spans="2:6">
      <c r="B67" s="5"/>
      <c r="E67" s="14"/>
      <c r="F67" s="5"/>
    </row>
    <row r="68" spans="2:6">
      <c r="B68" s="5"/>
      <c r="E68" s="14"/>
      <c r="F68" s="5"/>
    </row>
    <row r="69" spans="2:6">
      <c r="B69" s="5"/>
      <c r="E69" s="14"/>
      <c r="F69" s="5"/>
    </row>
    <row r="70" spans="2:6">
      <c r="B70" s="5"/>
      <c r="E70" s="14"/>
      <c r="F70" s="5"/>
    </row>
    <row r="71" spans="2:6">
      <c r="B71" s="5"/>
      <c r="E71" s="14"/>
      <c r="F71" s="5"/>
    </row>
    <row r="72" spans="2:6">
      <c r="B72" s="5"/>
      <c r="E72" s="14"/>
      <c r="F72" s="5"/>
    </row>
    <row r="73" spans="2:6">
      <c r="B73" s="5"/>
      <c r="E73" s="14"/>
      <c r="F73" s="5"/>
    </row>
    <row r="74" spans="2:6">
      <c r="B74" s="5"/>
      <c r="E74" s="14"/>
      <c r="F74" s="5"/>
    </row>
    <row r="75" spans="2:6">
      <c r="B75" s="5"/>
      <c r="E75" s="14"/>
      <c r="F75" s="5"/>
    </row>
    <row r="76" spans="2:6">
      <c r="B76" s="5"/>
      <c r="E76" s="14"/>
      <c r="F76" s="5"/>
    </row>
    <row r="77" spans="2:6">
      <c r="B77" s="5"/>
      <c r="E77" s="14"/>
      <c r="F77" s="5"/>
    </row>
    <row r="78" spans="2:6">
      <c r="B78" s="5"/>
      <c r="E78" s="14"/>
      <c r="F78" s="5"/>
    </row>
    <row r="79" spans="2:6">
      <c r="B79" s="5"/>
      <c r="E79" s="14"/>
      <c r="F79" s="5"/>
    </row>
    <row r="80" spans="2:6">
      <c r="B80" s="5"/>
      <c r="E80" s="14"/>
      <c r="F80" s="5"/>
    </row>
    <row r="81" spans="2:6">
      <c r="B81" s="5"/>
      <c r="E81" s="14"/>
      <c r="F81" s="5"/>
    </row>
    <row r="82" spans="2:6">
      <c r="B82" s="5"/>
      <c r="E82" s="14"/>
      <c r="F82" s="5"/>
    </row>
    <row r="83" spans="2:6">
      <c r="B83" s="5"/>
      <c r="E83" s="14"/>
      <c r="F83" s="5"/>
    </row>
    <row r="84" spans="2:6">
      <c r="B84" s="5"/>
      <c r="E84" s="14"/>
      <c r="F84" s="5"/>
    </row>
    <row r="85" spans="2:6">
      <c r="B85" s="5"/>
      <c r="E85" s="14"/>
      <c r="F85" s="5"/>
    </row>
    <row r="86" spans="2:6">
      <c r="B86" s="5"/>
      <c r="E86" s="14"/>
      <c r="F86" s="5"/>
    </row>
    <row r="87" spans="2:6">
      <c r="B87" s="5"/>
      <c r="E87" s="14"/>
      <c r="F87" s="5"/>
    </row>
    <row r="88" spans="2:6">
      <c r="B88" s="5"/>
      <c r="E88" s="14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</sheetData>
  <phoneticPr fontId="8" type="noConversion"/>
  <hyperlinks>
    <hyperlink ref="P24" r:id="rId1" display="http://www.bav-astro.de/sfs/BAVM_link.php?BAVMnr=179"/>
    <hyperlink ref="P13" r:id="rId2" display="http://www.bav-astro.de/sfs/BAVM_link.php?BAVMnr=201"/>
    <hyperlink ref="P14" r:id="rId3" display="http://www.konkoly.hu/cgi-bin/IBVS?6007"/>
    <hyperlink ref="P15" r:id="rId4" display="http://www.konkoly.hu/cgi-bin/IBVS?6007"/>
    <hyperlink ref="P16" r:id="rId5" display="http://www.konkoly.hu/cgi-bin/IBVS?6007"/>
    <hyperlink ref="P17" r:id="rId6" display="http://www.konkoly.hu/cgi-bin/IBVS?6007"/>
    <hyperlink ref="P18" r:id="rId7" display="http://www.konkoly.hu/cgi-bin/IBVS?600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2024-03-01T04:07:50Z</dcterms:modified>
</cp:coreProperties>
</file>