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4E5D84D-1BC5-451B-AB09-2FCEDA24978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9" i="1" l="1"/>
  <c r="D9" i="1"/>
  <c r="F16" i="1"/>
  <c r="F17" i="1" s="1"/>
  <c r="C17" i="1"/>
  <c r="E21" i="1"/>
  <c r="F21" i="1"/>
  <c r="G21" i="1"/>
  <c r="H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A12" i="2"/>
  <c r="B12" i="2"/>
  <c r="D12" i="2"/>
  <c r="G12" i="2"/>
  <c r="C12" i="2"/>
  <c r="E12" i="2"/>
  <c r="H12" i="2"/>
  <c r="A13" i="2"/>
  <c r="B13" i="2"/>
  <c r="C13" i="2"/>
  <c r="E13" i="2"/>
  <c r="D13" i="2"/>
  <c r="G13" i="2"/>
  <c r="H13" i="2"/>
  <c r="A14" i="2"/>
  <c r="C14" i="2"/>
  <c r="E14" i="2"/>
  <c r="D14" i="2"/>
  <c r="G14" i="2"/>
  <c r="H14" i="2"/>
  <c r="B14" i="2"/>
  <c r="A15" i="2"/>
  <c r="C15" i="2"/>
  <c r="D15" i="2"/>
  <c r="E15" i="2"/>
  <c r="G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C18" i="2"/>
  <c r="E18" i="2"/>
  <c r="D18" i="2"/>
  <c r="G18" i="2"/>
  <c r="H18" i="2"/>
  <c r="B18" i="2"/>
  <c r="A19" i="2"/>
  <c r="C19" i="2"/>
  <c r="E19" i="2"/>
  <c r="D19" i="2"/>
  <c r="G19" i="2"/>
  <c r="H19" i="2"/>
  <c r="B19" i="2"/>
  <c r="C12" i="1"/>
  <c r="C11" i="1"/>
  <c r="O28" i="1" l="1"/>
  <c r="O35" i="1"/>
  <c r="O32" i="1"/>
  <c r="O34" i="1"/>
  <c r="O21" i="1"/>
  <c r="C15" i="1"/>
  <c r="O27" i="1"/>
  <c r="O31" i="1"/>
  <c r="O25" i="1"/>
  <c r="O22" i="1"/>
  <c r="O29" i="1"/>
  <c r="O26" i="1"/>
  <c r="O30" i="1"/>
  <c r="O24" i="1"/>
  <c r="O33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<sst xmlns="http://schemas.openxmlformats.org/spreadsheetml/2006/main" count="146" uniqueCount="98">
  <si>
    <t>V1626 Ori / GSC 00721-02377</t>
  </si>
  <si>
    <t>System Type:</t>
  </si>
  <si>
    <t>E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</si>
  <si>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</si>
  <si>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</si>
  <si>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</si>
  <si>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</si>
  <si>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</si>
  <si>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</si>
  <si>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</si>
  <si>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IBVS 5339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</si>
  <si>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</si>
  <si>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</si>
  <si>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</si>
  <si>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</si>
  <si>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</si>
  <si>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</si>
  <si>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</si>
  <si>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</si>
  <si>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</si>
  <si>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</si>
  <si>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</si>
  <si>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</si>
  <si>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</si>
  <si>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</si>
  <si>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</si>
  <si>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</si>
  <si>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</si>
  <si>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</si>
  <si>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</si>
  <si>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</si>
  <si>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</si>
  <si>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</si>
  <si>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</si>
  <si>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</si>
  <si>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</si>
  <si>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</si>
  <si>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</si>
  <si>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</si>
  <si>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</si>
  <si>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</si>
  <si>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</si>
  <si>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</si>
  <si>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</si>
  <si>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BAVM 144 </t>
  </si>
  <si>
    <t>I</t>
  </si>
  <si>
    <t>BAV</t>
  </si>
  <si>
    <t>IBVS 5643</t>
  </si>
  <si>
    <t>IBVS 5894</t>
  </si>
  <si>
    <t>IBVS 5960</t>
  </si>
  <si>
    <t>IBVS 6029</t>
  </si>
  <si>
    <t>IBVS 6042</t>
  </si>
  <si>
    <t>OEJV 0160</t>
  </si>
  <si>
    <t>OEJV 0165</t>
  </si>
  <si>
    <t>OEJV 0179</t>
  </si>
  <si>
    <t>OEJV 0211</t>
  </si>
  <si>
    <t>Minima from the Lichtenknecker Database of the BAV</t>
  </si>
  <si>
    <t>C</t>
  </si>
  <si>
    <t>http://www.bav-astro.de/LkDB/index.php?lang=en&amp;sprache_dial=en</t>
  </si>
  <si>
    <t>F</t>
  </si>
  <si>
    <t>P</t>
  </si>
  <si>
    <t>V</t>
  </si>
  <si>
    <t>2452223.5824 </t>
  </si>
  <si>
    <t> 10.11.2001 01:58 </t>
  </si>
  <si>
    <t> 0.0006 </t>
  </si>
  <si>
    <t>E </t>
  </si>
  <si>
    <t>o</t>
  </si>
  <si>
    <t> Moschner&amp;Frank </t>
  </si>
  <si>
    <t>2452618.3953 </t>
  </si>
  <si>
    <t> 09.12.2002 21:29 </t>
  </si>
  <si>
    <t> -0.0002 </t>
  </si>
  <si>
    <t> W.Moschner </t>
  </si>
  <si>
    <t>BAVM 172 </t>
  </si>
  <si>
    <t>2454874.6374 </t>
  </si>
  <si>
    <t> 12.02.2009 03:17 </t>
  </si>
  <si>
    <t> 0.0011 </t>
  </si>
  <si>
    <t>C </t>
  </si>
  <si>
    <t> R.Diethelm </t>
  </si>
  <si>
    <t>IBVS 5894 </t>
  </si>
  <si>
    <t>2455528.8671 </t>
  </si>
  <si>
    <t> 28.11.2010 08:48 </t>
  </si>
  <si>
    <t> 0.0007 </t>
  </si>
  <si>
    <t>IBVS 5960 </t>
  </si>
  <si>
    <t>2455956.6755 </t>
  </si>
  <si>
    <t> 30.01.2012 04:12 </t>
  </si>
  <si>
    <t> -0.0006 </t>
  </si>
  <si>
    <t>IBVS 6029 </t>
  </si>
  <si>
    <t>2456255.9151 </t>
  </si>
  <si>
    <t> 24.11.2012 09:57 </t>
  </si>
  <si>
    <t>IBVS 6042 </t>
  </si>
  <si>
    <t>2456293.4622 </t>
  </si>
  <si>
    <t> 31.12.2012 23:05 </t>
  </si>
  <si>
    <t> M.Urbanik </t>
  </si>
  <si>
    <t>OEJV 0160 </t>
  </si>
  <si>
    <t>2451957.3394 </t>
  </si>
  <si>
    <t> 16.02.2001 20:08 </t>
  </si>
  <si>
    <t> 0.0008 </t>
  </si>
  <si>
    <t> P.Frank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</si>
</sst>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4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  <xf numFmtId="0" fontId="13" fillId="0" borderId="0"/>
  </cellStyleXfs>
  <cellXfs count="5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2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8" fillId="2" borderId="10" xfId="0" applyFont="1" applyFill="1" applyBorder="1" applyAlignment="1">
      <alignment horizontal="left" vertical="top" wrapText="1" indent="1"/>
    </xf>
    <xf numFmtId="0" fontId="8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right" vertical="top" wrapText="1"/>
    </xf>
    <xf numFmtId="0" fontId="12" fillId="2" borderId="10" xfId="5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V1626 Ori - O-C Diagr.</a:t>
            </a:r>
          </a:p>
        </c:rich>
      </c:tx>
      <c:layout>
        <c:manualLayout>
          <c:xMode val="edge"/>
          <c:yMode val="edge"/>
          <c:x val="0.3654135338345864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52380952381"/>
          <c:y val="0.13213276268394378"/>
          <c:w val="0.82957393483709274"/>
          <c:h val="0.66766924404719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-234</c:v>
                </c:pt>
                <c:pt idx="1">
                  <c:v>-234</c:v>
                </c:pt>
                <c:pt idx="2">
                  <c:v>0</c:v>
                </c:pt>
                <c:pt idx="3">
                  <c:v>243</c:v>
                </c:pt>
                <c:pt idx="4">
                  <c:v>347</c:v>
                </c:pt>
                <c:pt idx="5">
                  <c:v>347</c:v>
                </c:pt>
                <c:pt idx="6">
                  <c:v>2330</c:v>
                </c:pt>
                <c:pt idx="7">
                  <c:v>2905</c:v>
                </c:pt>
                <c:pt idx="8">
                  <c:v>3281</c:v>
                </c:pt>
                <c:pt idx="9">
                  <c:v>3544</c:v>
                </c:pt>
                <c:pt idx="10">
                  <c:v>3577</c:v>
                </c:pt>
                <c:pt idx="11">
                  <c:v>3577</c:v>
                </c:pt>
                <c:pt idx="12">
                  <c:v>4556</c:v>
                </c:pt>
                <c:pt idx="13">
                  <c:v>4556</c:v>
                </c:pt>
                <c:pt idx="14">
                  <c:v>5231</c:v>
                </c:pt>
              </c:numCache>
            </c:numRef>
          </c:xVal>
          <c:yVal>
            <c:numRef>
              <c:f>Active!$H$21:$H$350</c:f>
              <c:numCache>
                <c:formatCode>General</c:formatCode>
                <c:ptCount val="330"/>
                <c:pt idx="0">
                  <c:v>-9.3799999740440398E-4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0-433D-A274-276FB796F4E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-234</c:v>
                </c:pt>
                <c:pt idx="1">
                  <c:v>-234</c:v>
                </c:pt>
                <c:pt idx="2">
                  <c:v>0</c:v>
                </c:pt>
                <c:pt idx="3">
                  <c:v>243</c:v>
                </c:pt>
                <c:pt idx="4">
                  <c:v>347</c:v>
                </c:pt>
                <c:pt idx="5">
                  <c:v>347</c:v>
                </c:pt>
                <c:pt idx="6">
                  <c:v>2330</c:v>
                </c:pt>
                <c:pt idx="7">
                  <c:v>2905</c:v>
                </c:pt>
                <c:pt idx="8">
                  <c:v>3281</c:v>
                </c:pt>
                <c:pt idx="9">
                  <c:v>3544</c:v>
                </c:pt>
                <c:pt idx="10">
                  <c:v>3577</c:v>
                </c:pt>
                <c:pt idx="11">
                  <c:v>3577</c:v>
                </c:pt>
                <c:pt idx="12">
                  <c:v>4556</c:v>
                </c:pt>
                <c:pt idx="13">
                  <c:v>4556</c:v>
                </c:pt>
                <c:pt idx="14">
                  <c:v>5231</c:v>
                </c:pt>
              </c:numCache>
            </c:numRef>
          </c:xVal>
          <c:yVal>
            <c:numRef>
              <c:f>Active!$I$21:$I$350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0-433D-A274-276FB796F4E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-234</c:v>
                </c:pt>
                <c:pt idx="1">
                  <c:v>-234</c:v>
                </c:pt>
                <c:pt idx="2">
                  <c:v>0</c:v>
                </c:pt>
                <c:pt idx="3">
                  <c:v>243</c:v>
                </c:pt>
                <c:pt idx="4">
                  <c:v>347</c:v>
                </c:pt>
                <c:pt idx="5">
                  <c:v>347</c:v>
                </c:pt>
                <c:pt idx="6">
                  <c:v>2330</c:v>
                </c:pt>
                <c:pt idx="7">
                  <c:v>2905</c:v>
                </c:pt>
                <c:pt idx="8">
                  <c:v>3281</c:v>
                </c:pt>
                <c:pt idx="9">
                  <c:v>3544</c:v>
                </c:pt>
                <c:pt idx="10">
                  <c:v>3577</c:v>
                </c:pt>
                <c:pt idx="11">
                  <c:v>3577</c:v>
                </c:pt>
                <c:pt idx="12">
                  <c:v>4556</c:v>
                </c:pt>
                <c:pt idx="13">
                  <c:v>4556</c:v>
                </c:pt>
                <c:pt idx="14">
                  <c:v>5231</c:v>
                </c:pt>
              </c:numCache>
            </c:numRef>
          </c:xVal>
          <c:yVal>
            <c:numRef>
              <c:f>Active!$J$21:$J$350</c:f>
              <c:numCache>
                <c:formatCode>General</c:formatCode>
                <c:ptCount val="330"/>
                <c:pt idx="4">
                  <c:v>-1.2710000009974465E-3</c:v>
                </c:pt>
                <c:pt idx="5">
                  <c:v>-1.2710000009974465E-3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0-433D-A274-276FB796F4E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-234</c:v>
                </c:pt>
                <c:pt idx="1">
                  <c:v>-234</c:v>
                </c:pt>
                <c:pt idx="2">
                  <c:v>0</c:v>
                </c:pt>
                <c:pt idx="3">
                  <c:v>243</c:v>
                </c:pt>
                <c:pt idx="4">
                  <c:v>347</c:v>
                </c:pt>
                <c:pt idx="5">
                  <c:v>347</c:v>
                </c:pt>
                <c:pt idx="6">
                  <c:v>2330</c:v>
                </c:pt>
                <c:pt idx="7">
                  <c:v>2905</c:v>
                </c:pt>
                <c:pt idx="8">
                  <c:v>3281</c:v>
                </c:pt>
                <c:pt idx="9">
                  <c:v>3544</c:v>
                </c:pt>
                <c:pt idx="10">
                  <c:v>3577</c:v>
                </c:pt>
                <c:pt idx="11">
                  <c:v>3577</c:v>
                </c:pt>
                <c:pt idx="12">
                  <c:v>4556</c:v>
                </c:pt>
                <c:pt idx="13">
                  <c:v>4556</c:v>
                </c:pt>
                <c:pt idx="14">
                  <c:v>5231</c:v>
                </c:pt>
              </c:numCache>
            </c:numRef>
          </c:xVal>
          <c:yVal>
            <c:numRef>
              <c:f>Active!$K$21:$K$350</c:f>
              <c:numCache>
                <c:formatCode>General</c:formatCode>
                <c:ptCount val="330"/>
                <c:pt idx="1">
                  <c:v>5.6200000108219683E-4</c:v>
                </c:pt>
                <c:pt idx="2">
                  <c:v>0</c:v>
                </c:pt>
                <c:pt idx="3">
                  <c:v>-8.9899999875342473E-4</c:v>
                </c:pt>
                <c:pt idx="6">
                  <c:v>-2.6900000011664815E-3</c:v>
                </c:pt>
                <c:pt idx="7">
                  <c:v>-3.9649999962421134E-3</c:v>
                </c:pt>
                <c:pt idx="8">
                  <c:v>-5.7329999981448054E-3</c:v>
                </c:pt>
                <c:pt idx="9">
                  <c:v>-5.6919999988167547E-3</c:v>
                </c:pt>
                <c:pt idx="10">
                  <c:v>-5.761000000347849E-3</c:v>
                </c:pt>
                <c:pt idx="11">
                  <c:v>-4.5910000044386834E-3</c:v>
                </c:pt>
                <c:pt idx="12">
                  <c:v>-4.9080000026151538E-3</c:v>
                </c:pt>
                <c:pt idx="13">
                  <c:v>-3.647999998065643E-3</c:v>
                </c:pt>
                <c:pt idx="14">
                  <c:v>-6.7129997842130251E-3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0-433D-A274-276FB796F4E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-234</c:v>
                </c:pt>
                <c:pt idx="1">
                  <c:v>-234</c:v>
                </c:pt>
                <c:pt idx="2">
                  <c:v>0</c:v>
                </c:pt>
                <c:pt idx="3">
                  <c:v>243</c:v>
                </c:pt>
                <c:pt idx="4">
                  <c:v>347</c:v>
                </c:pt>
                <c:pt idx="5">
                  <c:v>347</c:v>
                </c:pt>
                <c:pt idx="6">
                  <c:v>2330</c:v>
                </c:pt>
                <c:pt idx="7">
                  <c:v>2905</c:v>
                </c:pt>
                <c:pt idx="8">
                  <c:v>3281</c:v>
                </c:pt>
                <c:pt idx="9">
                  <c:v>3544</c:v>
                </c:pt>
                <c:pt idx="10">
                  <c:v>3577</c:v>
                </c:pt>
                <c:pt idx="11">
                  <c:v>3577</c:v>
                </c:pt>
                <c:pt idx="12">
                  <c:v>4556</c:v>
                </c:pt>
                <c:pt idx="13">
                  <c:v>4556</c:v>
                </c:pt>
                <c:pt idx="14">
                  <c:v>5231</c:v>
                </c:pt>
              </c:numCache>
            </c:numRef>
          </c:xVal>
          <c:yVal>
            <c:numRef>
              <c:f>Active!$L$21:$L$350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0-433D-A274-276FB796F4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-234</c:v>
                </c:pt>
                <c:pt idx="1">
                  <c:v>-234</c:v>
                </c:pt>
                <c:pt idx="2">
                  <c:v>0</c:v>
                </c:pt>
                <c:pt idx="3">
                  <c:v>243</c:v>
                </c:pt>
                <c:pt idx="4">
                  <c:v>347</c:v>
                </c:pt>
                <c:pt idx="5">
                  <c:v>347</c:v>
                </c:pt>
                <c:pt idx="6">
                  <c:v>2330</c:v>
                </c:pt>
                <c:pt idx="7">
                  <c:v>2905</c:v>
                </c:pt>
                <c:pt idx="8">
                  <c:v>3281</c:v>
                </c:pt>
                <c:pt idx="9">
                  <c:v>3544</c:v>
                </c:pt>
                <c:pt idx="10">
                  <c:v>3577</c:v>
                </c:pt>
                <c:pt idx="11">
                  <c:v>3577</c:v>
                </c:pt>
                <c:pt idx="12">
                  <c:v>4556</c:v>
                </c:pt>
                <c:pt idx="13">
                  <c:v>4556</c:v>
                </c:pt>
                <c:pt idx="14">
                  <c:v>5231</c:v>
                </c:pt>
              </c:numCache>
            </c:numRef>
          </c:xVal>
          <c:yVal>
            <c:numRef>
              <c:f>Active!$M$21:$M$350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0-433D-A274-276FB796F4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-234</c:v>
                </c:pt>
                <c:pt idx="1">
                  <c:v>-234</c:v>
                </c:pt>
                <c:pt idx="2">
                  <c:v>0</c:v>
                </c:pt>
                <c:pt idx="3">
                  <c:v>243</c:v>
                </c:pt>
                <c:pt idx="4">
                  <c:v>347</c:v>
                </c:pt>
                <c:pt idx="5">
                  <c:v>347</c:v>
                </c:pt>
                <c:pt idx="6">
                  <c:v>2330</c:v>
                </c:pt>
                <c:pt idx="7">
                  <c:v>2905</c:v>
                </c:pt>
                <c:pt idx="8">
                  <c:v>3281</c:v>
                </c:pt>
                <c:pt idx="9">
                  <c:v>3544</c:v>
                </c:pt>
                <c:pt idx="10">
                  <c:v>3577</c:v>
                </c:pt>
                <c:pt idx="11">
                  <c:v>3577</c:v>
                </c:pt>
                <c:pt idx="12">
                  <c:v>4556</c:v>
                </c:pt>
                <c:pt idx="13">
                  <c:v>4556</c:v>
                </c:pt>
                <c:pt idx="14">
                  <c:v>5231</c:v>
                </c:pt>
              </c:numCache>
            </c:numRef>
          </c:xVal>
          <c:yVal>
            <c:numRef>
              <c:f>Active!$N$21:$N$350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00-433D-A274-276FB796F4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-234</c:v>
                </c:pt>
                <c:pt idx="1">
                  <c:v>-234</c:v>
                </c:pt>
                <c:pt idx="2">
                  <c:v>0</c:v>
                </c:pt>
                <c:pt idx="3">
                  <c:v>243</c:v>
                </c:pt>
                <c:pt idx="4">
                  <c:v>347</c:v>
                </c:pt>
                <c:pt idx="5">
                  <c:v>347</c:v>
                </c:pt>
                <c:pt idx="6">
                  <c:v>2330</c:v>
                </c:pt>
                <c:pt idx="7">
                  <c:v>2905</c:v>
                </c:pt>
                <c:pt idx="8">
                  <c:v>3281</c:v>
                </c:pt>
                <c:pt idx="9">
                  <c:v>3544</c:v>
                </c:pt>
                <c:pt idx="10">
                  <c:v>3577</c:v>
                </c:pt>
                <c:pt idx="11">
                  <c:v>3577</c:v>
                </c:pt>
                <c:pt idx="12">
                  <c:v>4556</c:v>
                </c:pt>
                <c:pt idx="13">
                  <c:v>4556</c:v>
                </c:pt>
                <c:pt idx="14">
                  <c:v>5231</c:v>
                </c:pt>
              </c:numCache>
            </c:numRef>
          </c:xVal>
          <c:yVal>
            <c:numRef>
              <c:f>Active!$O$21:$O$350</c:f>
              <c:numCache>
                <c:formatCode>General</c:formatCode>
                <c:ptCount val="330"/>
                <c:pt idx="0">
                  <c:v>-3.8132889264841315E-4</c:v>
                </c:pt>
                <c:pt idx="1">
                  <c:v>-3.8132889264841315E-4</c:v>
                </c:pt>
                <c:pt idx="2">
                  <c:v>-6.4189867993492185E-4</c:v>
                </c:pt>
                <c:pt idx="3">
                  <c:v>-9.1249038211706549E-4</c:v>
                </c:pt>
                <c:pt idx="4">
                  <c:v>-1.0282991764666248E-3</c:v>
                </c:pt>
                <c:pt idx="5">
                  <c:v>-1.0282991764666248E-3</c:v>
                </c:pt>
                <c:pt idx="6">
                  <c:v>-3.2364610918048588E-3</c:v>
                </c:pt>
                <c:pt idx="7">
                  <c:v>-3.8767500990259805E-3</c:v>
                </c:pt>
                <c:pt idx="8">
                  <c:v>-4.2954434324436186E-3</c:v>
                </c:pt>
                <c:pt idx="9">
                  <c:v>-4.588306056616062E-3</c:v>
                </c:pt>
                <c:pt idx="10">
                  <c:v>-4.6250530779000567E-3</c:v>
                </c:pt>
                <c:pt idx="11">
                  <c:v>-4.6250530779000567E-3</c:v>
                </c:pt>
                <c:pt idx="12">
                  <c:v>-5.7152147093252363E-3</c:v>
                </c:pt>
                <c:pt idx="13">
                  <c:v>-5.7152147093252363E-3</c:v>
                </c:pt>
                <c:pt idx="14">
                  <c:v>-6.4668583264978572E-3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00-433D-A274-276FB796F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868640"/>
        <c:axId val="1"/>
      </c:scatterChart>
      <c:valAx>
        <c:axId val="49586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8686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9022556390977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38703E-5B8C-C433-B5AC-9B6418D55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44" TargetMode="External"/><Relationship Id="rId3" Type="http://schemas.openxmlformats.org/officeDocument/2006/relationships/hyperlink" Target="http://www.konkoly.hu/cgi-bin/IBVS?5894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72" TargetMode="External"/><Relationship Id="rId1" Type="http://schemas.openxmlformats.org/officeDocument/2006/relationships/hyperlink" Target="http://www.bav-astro.de/sfs/BAVM_link.php?BAVMnr=144" TargetMode="External"/><Relationship Id="rId6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s="21" customFormat="1" ht="12.95" customHeight="1" x14ac:dyDescent="0.2">
      <c r="A2" s="21" t="s">
        <v>1</v>
      </c>
      <c r="B2" s="21" t="s">
        <v>2</v>
      </c>
      <c r="C2" s="22"/>
      <c r="D2" s="22"/>
    </row>
    <row r="3" spans="1:6" s="21" customFormat="1" ht="12.95" customHeight="1" x14ac:dyDescent="0.2"/>
    <row r="4" spans="1:6" s="21" customFormat="1" ht="12.95" customHeight="1" x14ac:dyDescent="0.2">
      <c r="A4" s="23" t="s">
        <v>3</v>
      </c>
      <c r="C4" s="24" t="s">
        <v>4</v>
      </c>
      <c r="D4" s="25" t="s">
        <v>4</v>
      </c>
    </row>
    <row r="5" spans="1:6" s="21" customFormat="1" ht="12.95" customHeight="1" x14ac:dyDescent="0.2">
      <c r="A5" s="26" t="s">
        <v>5</v>
      </c>
      <c r="C5" s="27">
        <v>-9.5</v>
      </c>
      <c r="D5" s="21" t="s">
        <v>6</v>
      </c>
    </row>
    <row r="6" spans="1:6" s="21" customFormat="1" ht="12.95" customHeight="1" x14ac:dyDescent="0.2">
      <c r="A6" s="23" t="s">
        <v>7</v>
      </c>
    </row>
    <row r="7" spans="1:6" s="21" customFormat="1" ht="12.95" customHeight="1" x14ac:dyDescent="0.2">
      <c r="A7" s="21" t="s">
        <v>8</v>
      </c>
      <c r="C7" s="21">
        <v>52223.582399999999</v>
      </c>
    </row>
    <row r="8" spans="1:6" s="21" customFormat="1" ht="12.95" customHeight="1" x14ac:dyDescent="0.2">
      <c r="A8" s="21" t="s">
        <v>9</v>
      </c>
      <c r="C8" s="21">
        <v>1.1377930000000001</v>
      </c>
      <c r="D8" s="26" t="s">
        <v>10</v>
      </c>
    </row>
    <row r="9" spans="1:6" s="21" customFormat="1" ht="12.95" customHeight="1" x14ac:dyDescent="0.2">
      <c r="A9" s="28" t="s">
        <v>11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6" s="21" customFormat="1" ht="12.95" customHeight="1" x14ac:dyDescent="0.2">
      <c r="C10" s="32" t="s">
        <v>12</v>
      </c>
      <c r="D10" s="32" t="s">
        <v>13</v>
      </c>
    </row>
    <row r="11" spans="1:6" s="21" customFormat="1" ht="12.95" customHeight="1" x14ac:dyDescent="0.2">
      <c r="A11" s="21" t="s">
        <v>14</v>
      </c>
      <c r="C11" s="31">
        <f ca="1">INTERCEPT(INDIRECT($D$9):G991,INDIRECT($C$9):F991)</f>
        <v>-6.4189867993492185E-4</v>
      </c>
      <c r="D11" s="22"/>
    </row>
    <row r="12" spans="1:6" s="21" customFormat="1" ht="12.95" customHeight="1" x14ac:dyDescent="0.2">
      <c r="A12" s="21" t="s">
        <v>15</v>
      </c>
      <c r="C12" s="31">
        <f ca="1">SLOPE(INDIRECT($D$9):G991,INDIRECT($C$9):F991)</f>
        <v>-1.1135460995149944E-6</v>
      </c>
      <c r="D12" s="22"/>
    </row>
    <row r="13" spans="1:6" s="21" customFormat="1" ht="12.95" customHeight="1" x14ac:dyDescent="0.2">
      <c r="A13" s="21" t="s">
        <v>16</v>
      </c>
      <c r="C13" s="22" t="s">
        <v>17</v>
      </c>
    </row>
    <row r="14" spans="1:6" s="21" customFormat="1" ht="12.95" customHeight="1" x14ac:dyDescent="0.2"/>
    <row r="15" spans="1:6" s="21" customFormat="1" ht="12.95" customHeight="1" x14ac:dyDescent="0.2">
      <c r="A15" s="23" t="s">
        <v>18</v>
      </c>
      <c r="C15" s="33">
        <f ca="1">(C7+C11)+(C8+C12)*INT(MAX(F21:F3532))</f>
        <v>58175.371116141672</v>
      </c>
      <c r="E15" s="28" t="s">
        <v>19</v>
      </c>
      <c r="F15" s="27">
        <v>1</v>
      </c>
    </row>
    <row r="16" spans="1:6" s="21" customFormat="1" ht="12.95" customHeight="1" x14ac:dyDescent="0.2">
      <c r="A16" s="23" t="s">
        <v>20</v>
      </c>
      <c r="C16" s="33">
        <f ca="1">+C8+C12</f>
        <v>1.1377918864539005</v>
      </c>
      <c r="E16" s="28" t="s">
        <v>21</v>
      </c>
      <c r="F16" s="31">
        <f ca="1">NOW()+15018.5+$C$5/24</f>
        <v>60370.722876504624</v>
      </c>
    </row>
    <row r="17" spans="1:17" s="21" customFormat="1" ht="12.95" customHeight="1" x14ac:dyDescent="0.2">
      <c r="A17" s="28" t="s">
        <v>22</v>
      </c>
      <c r="C17" s="21">
        <f>COUNT(C21:C2190)</f>
        <v>15</v>
      </c>
      <c r="E17" s="28" t="s">
        <v>23</v>
      </c>
      <c r="F17" s="31">
        <f ca="1">ROUND(2*(F16-$C$7)/$C$8,0)/2+F15</f>
        <v>7161.5</v>
      </c>
    </row>
    <row r="18" spans="1:17" s="21" customFormat="1" ht="12.95" customHeight="1" x14ac:dyDescent="0.2">
      <c r="A18" s="23" t="s">
        <v>24</v>
      </c>
      <c r="C18" s="34">
        <f ca="1">+C15</f>
        <v>58175.371116141672</v>
      </c>
      <c r="D18" s="35">
        <f ca="1">+C16</f>
        <v>1.1377918864539005</v>
      </c>
      <c r="E18" s="28" t="s">
        <v>25</v>
      </c>
      <c r="F18" s="31">
        <f ca="1">ROUND(2*(F16-$C$15)/$C$16,0)/2+F15</f>
        <v>1930.5</v>
      </c>
    </row>
    <row r="19" spans="1:17" s="21" customFormat="1" ht="12.95" customHeight="1" x14ac:dyDescent="0.2">
      <c r="E19" s="28" t="s">
        <v>26</v>
      </c>
      <c r="F19" s="36">
        <f ca="1">+$C$15+$C$16*F18-15018.5-$C$5/24</f>
        <v>45353.774186274262</v>
      </c>
    </row>
    <row r="20" spans="1:17" s="21" customFormat="1" ht="12.95" customHeight="1" x14ac:dyDescent="0.2">
      <c r="A20" s="32" t="s">
        <v>27</v>
      </c>
      <c r="B20" s="32" t="s">
        <v>28</v>
      </c>
      <c r="C20" s="32" t="s">
        <v>29</v>
      </c>
      <c r="D20" s="32" t="s">
        <v>30</v>
      </c>
      <c r="E20" s="32" t="s">
        <v>31</v>
      </c>
      <c r="F20" s="32" t="s">
        <v>32</v>
      </c>
      <c r="G20" s="32" t="s">
        <v>33</v>
      </c>
      <c r="H20" s="37" t="s">
        <v>34</v>
      </c>
      <c r="I20" s="37" t="s">
        <v>35</v>
      </c>
      <c r="J20" s="37" t="s">
        <v>36</v>
      </c>
      <c r="K20" s="37" t="s">
        <v>37</v>
      </c>
      <c r="L20" s="37" t="s">
        <v>38</v>
      </c>
      <c r="M20" s="37" t="s">
        <v>39</v>
      </c>
      <c r="N20" s="37" t="s">
        <v>40</v>
      </c>
      <c r="O20" s="37" t="s">
        <v>41</v>
      </c>
      <c r="P20" s="37" t="s">
        <v>42</v>
      </c>
      <c r="Q20" s="32" t="s">
        <v>43</v>
      </c>
    </row>
    <row r="21" spans="1:17" s="21" customFormat="1" ht="12.95" customHeight="1" x14ac:dyDescent="0.2">
      <c r="A21" s="21" t="s">
        <v>10</v>
      </c>
      <c r="C21" s="38">
        <v>51957.337899999999</v>
      </c>
      <c r="D21" s="38">
        <v>1.1999999999999999E-3</v>
      </c>
      <c r="E21" s="21">
        <f t="shared" ref="E21:E32" si="0">+(C21-C$7)/C$8</f>
        <v>-234.0008244030335</v>
      </c>
      <c r="F21" s="21">
        <f t="shared" ref="F21:F34" si="1">ROUND(2*E21,0)/2</f>
        <v>-234</v>
      </c>
      <c r="G21" s="21">
        <f t="shared" ref="G21:G32" si="2">+C21-(C$7+F21*C$8)</f>
        <v>-9.3799999740440398E-4</v>
      </c>
      <c r="H21" s="21">
        <f>+G21</f>
        <v>-9.3799999740440398E-4</v>
      </c>
      <c r="O21" s="21">
        <f t="shared" ref="O21:O32" ca="1" si="3">+C$11+C$12*$F21</f>
        <v>-3.8132889264841315E-4</v>
      </c>
      <c r="Q21" s="39">
        <f t="shared" ref="Q21:Q32" si="4">+C21-15018.5</f>
        <v>36938.837899999999</v>
      </c>
    </row>
    <row r="22" spans="1:17" s="21" customFormat="1" ht="12.95" customHeight="1" x14ac:dyDescent="0.2">
      <c r="A22" s="40" t="s">
        <v>44</v>
      </c>
      <c r="B22" s="41" t="s">
        <v>45</v>
      </c>
      <c r="C22" s="42">
        <v>51957.339399999997</v>
      </c>
      <c r="D22" s="38"/>
      <c r="E22" s="21">
        <f t="shared" si="0"/>
        <v>-233.99950606129778</v>
      </c>
      <c r="F22" s="21">
        <f t="shared" si="1"/>
        <v>-234</v>
      </c>
      <c r="G22" s="21">
        <f t="shared" si="2"/>
        <v>5.6200000108219683E-4</v>
      </c>
      <c r="K22" s="21">
        <f t="shared" ref="K22:K33" si="5">+G22</f>
        <v>5.6200000108219683E-4</v>
      </c>
      <c r="O22" s="21">
        <f t="shared" ca="1" si="3"/>
        <v>-3.8132889264841315E-4</v>
      </c>
      <c r="Q22" s="39">
        <f t="shared" si="4"/>
        <v>36938.839399999997</v>
      </c>
    </row>
    <row r="23" spans="1:17" s="21" customFormat="1" ht="12.95" customHeight="1" x14ac:dyDescent="0.2">
      <c r="A23" s="21" t="s">
        <v>10</v>
      </c>
      <c r="C23" s="38">
        <v>52223.582399999999</v>
      </c>
      <c r="D23" s="38">
        <v>2.8999999999999998E-3</v>
      </c>
      <c r="E23" s="21">
        <f t="shared" si="0"/>
        <v>0</v>
      </c>
      <c r="F23" s="21">
        <f t="shared" si="1"/>
        <v>0</v>
      </c>
      <c r="G23" s="21">
        <f t="shared" si="2"/>
        <v>0</v>
      </c>
      <c r="K23" s="21">
        <f t="shared" si="5"/>
        <v>0</v>
      </c>
      <c r="O23" s="21">
        <f t="shared" ca="1" si="3"/>
        <v>-6.4189867993492185E-4</v>
      </c>
      <c r="Q23" s="39">
        <f t="shared" si="4"/>
        <v>37205.082399999999</v>
      </c>
    </row>
    <row r="24" spans="1:17" s="21" customFormat="1" ht="12.95" customHeight="1" x14ac:dyDescent="0.2">
      <c r="A24" s="21" t="s">
        <v>46</v>
      </c>
      <c r="C24" s="38">
        <v>52500.065199999997</v>
      </c>
      <c r="D24" s="38" t="s">
        <v>17</v>
      </c>
      <c r="E24" s="21">
        <f t="shared" si="0"/>
        <v>242.99920987385048</v>
      </c>
      <c r="F24" s="21">
        <f t="shared" si="1"/>
        <v>243</v>
      </c>
      <c r="G24" s="21">
        <f t="shared" si="2"/>
        <v>-8.9899999875342473E-4</v>
      </c>
      <c r="K24" s="21">
        <f t="shared" si="5"/>
        <v>-8.9899999875342473E-4</v>
      </c>
      <c r="O24" s="21">
        <f t="shared" ca="1" si="3"/>
        <v>-9.1249038211706549E-4</v>
      </c>
      <c r="Q24" s="39">
        <f t="shared" si="4"/>
        <v>37481.565199999997</v>
      </c>
    </row>
    <row r="25" spans="1:17" s="21" customFormat="1" ht="12.95" customHeight="1" x14ac:dyDescent="0.2">
      <c r="A25" s="21" t="s">
        <v>47</v>
      </c>
      <c r="C25" s="38">
        <v>52618.395299999996</v>
      </c>
      <c r="D25" s="38">
        <v>2.9999999999999997E-4</v>
      </c>
      <c r="E25" s="21">
        <f t="shared" si="0"/>
        <v>346.998882925099</v>
      </c>
      <c r="F25" s="21">
        <f t="shared" si="1"/>
        <v>347</v>
      </c>
      <c r="G25" s="21">
        <f t="shared" si="2"/>
        <v>-1.2710000009974465E-3</v>
      </c>
      <c r="J25" s="21">
        <f>+G25</f>
        <v>-1.2710000009974465E-3</v>
      </c>
      <c r="O25" s="21">
        <f t="shared" ca="1" si="3"/>
        <v>-1.0282991764666248E-3</v>
      </c>
      <c r="Q25" s="39">
        <f t="shared" si="4"/>
        <v>37599.895299999996</v>
      </c>
    </row>
    <row r="26" spans="1:17" s="21" customFormat="1" ht="12.95" customHeight="1" x14ac:dyDescent="0.2">
      <c r="A26" s="5" t="s">
        <v>47</v>
      </c>
      <c r="B26" s="6"/>
      <c r="C26" s="7">
        <v>52618.395299999996</v>
      </c>
      <c r="D26" s="7">
        <v>2.9999999999999997E-4</v>
      </c>
      <c r="E26" s="21">
        <f t="shared" si="0"/>
        <v>346.998882925099</v>
      </c>
      <c r="F26" s="21">
        <f t="shared" si="1"/>
        <v>347</v>
      </c>
      <c r="G26" s="21">
        <f t="shared" si="2"/>
        <v>-1.2710000009974465E-3</v>
      </c>
      <c r="J26" s="21">
        <f>+G26</f>
        <v>-1.2710000009974465E-3</v>
      </c>
      <c r="O26" s="21">
        <f t="shared" ca="1" si="3"/>
        <v>-1.0282991764666248E-3</v>
      </c>
      <c r="Q26" s="39">
        <f t="shared" si="4"/>
        <v>37599.895299999996</v>
      </c>
    </row>
    <row r="27" spans="1:17" s="21" customFormat="1" ht="12.95" customHeight="1" x14ac:dyDescent="0.2">
      <c r="A27" s="5" t="s">
        <v>48</v>
      </c>
      <c r="B27" s="8" t="s">
        <v>45</v>
      </c>
      <c r="C27" s="5">
        <v>54874.6374</v>
      </c>
      <c r="D27" s="5">
        <v>4.0000000000000002E-4</v>
      </c>
      <c r="E27" s="21">
        <f t="shared" si="0"/>
        <v>2329.9976357738183</v>
      </c>
      <c r="F27" s="21">
        <f t="shared" si="1"/>
        <v>2330</v>
      </c>
      <c r="G27" s="21">
        <f t="shared" si="2"/>
        <v>-2.6900000011664815E-3</v>
      </c>
      <c r="K27" s="21">
        <f t="shared" si="5"/>
        <v>-2.6900000011664815E-3</v>
      </c>
      <c r="O27" s="21">
        <f t="shared" ca="1" si="3"/>
        <v>-3.2364610918048588E-3</v>
      </c>
      <c r="Q27" s="39">
        <f t="shared" si="4"/>
        <v>39856.1374</v>
      </c>
    </row>
    <row r="28" spans="1:17" s="21" customFormat="1" ht="12.95" customHeight="1" x14ac:dyDescent="0.2">
      <c r="A28" s="43" t="s">
        <v>49</v>
      </c>
      <c r="B28" s="8" t="s">
        <v>45</v>
      </c>
      <c r="C28" s="5">
        <v>55528.867100000003</v>
      </c>
      <c r="D28" s="5">
        <v>8.0000000000000004E-4</v>
      </c>
      <c r="E28" s="21">
        <f t="shared" si="0"/>
        <v>2904.9965151833449</v>
      </c>
      <c r="F28" s="21">
        <f t="shared" si="1"/>
        <v>2905</v>
      </c>
      <c r="G28" s="21">
        <f t="shared" si="2"/>
        <v>-3.9649999962421134E-3</v>
      </c>
      <c r="K28" s="21">
        <f t="shared" si="5"/>
        <v>-3.9649999962421134E-3</v>
      </c>
      <c r="O28" s="21">
        <f t="shared" ca="1" si="3"/>
        <v>-3.8767500990259805E-3</v>
      </c>
      <c r="Q28" s="39">
        <f t="shared" si="4"/>
        <v>40510.367100000003</v>
      </c>
    </row>
    <row r="29" spans="1:17" s="21" customFormat="1" ht="12.95" customHeight="1" x14ac:dyDescent="0.2">
      <c r="A29" s="5" t="s">
        <v>50</v>
      </c>
      <c r="B29" s="8" t="s">
        <v>45</v>
      </c>
      <c r="C29" s="5">
        <v>55956.675499999998</v>
      </c>
      <c r="D29" s="5">
        <v>2.9999999999999997E-4</v>
      </c>
      <c r="E29" s="21">
        <f t="shared" si="0"/>
        <v>3280.9949612978794</v>
      </c>
      <c r="F29" s="21">
        <f t="shared" si="1"/>
        <v>3281</v>
      </c>
      <c r="G29" s="21">
        <f t="shared" si="2"/>
        <v>-5.7329999981448054E-3</v>
      </c>
      <c r="K29" s="21">
        <f t="shared" si="5"/>
        <v>-5.7329999981448054E-3</v>
      </c>
      <c r="O29" s="21">
        <f t="shared" ca="1" si="3"/>
        <v>-4.2954434324436186E-3</v>
      </c>
      <c r="Q29" s="39">
        <f t="shared" si="4"/>
        <v>40938.175499999998</v>
      </c>
    </row>
    <row r="30" spans="1:17" s="21" customFormat="1" ht="12.95" customHeight="1" x14ac:dyDescent="0.2">
      <c r="A30" s="43" t="s">
        <v>51</v>
      </c>
      <c r="B30" s="8" t="s">
        <v>45</v>
      </c>
      <c r="C30" s="5">
        <v>56255.915099999998</v>
      </c>
      <c r="D30" s="5">
        <v>3.0000000000000003E-4</v>
      </c>
      <c r="E30" s="21">
        <f t="shared" si="0"/>
        <v>3543.9949973325542</v>
      </c>
      <c r="F30" s="21">
        <f t="shared" si="1"/>
        <v>3544</v>
      </c>
      <c r="G30" s="21">
        <f t="shared" si="2"/>
        <v>-5.6919999988167547E-3</v>
      </c>
      <c r="K30" s="21">
        <f t="shared" si="5"/>
        <v>-5.6919999988167547E-3</v>
      </c>
      <c r="O30" s="21">
        <f t="shared" ca="1" si="3"/>
        <v>-4.588306056616062E-3</v>
      </c>
      <c r="Q30" s="39">
        <f t="shared" si="4"/>
        <v>41237.415099999998</v>
      </c>
    </row>
    <row r="31" spans="1:17" s="21" customFormat="1" ht="12.95" customHeight="1" x14ac:dyDescent="0.2">
      <c r="A31" s="40" t="s">
        <v>52</v>
      </c>
      <c r="B31" s="41" t="s">
        <v>45</v>
      </c>
      <c r="C31" s="42">
        <v>56293.462200000002</v>
      </c>
      <c r="D31" s="38"/>
      <c r="E31" s="21">
        <f t="shared" si="0"/>
        <v>3576.9949366888372</v>
      </c>
      <c r="F31" s="21">
        <f t="shared" si="1"/>
        <v>3577</v>
      </c>
      <c r="G31" s="21">
        <f t="shared" si="2"/>
        <v>-5.761000000347849E-3</v>
      </c>
      <c r="K31" s="21">
        <f t="shared" si="5"/>
        <v>-5.761000000347849E-3</v>
      </c>
      <c r="O31" s="21">
        <f t="shared" ca="1" si="3"/>
        <v>-4.6250530779000567E-3</v>
      </c>
      <c r="Q31" s="39">
        <f t="shared" si="4"/>
        <v>41274.962200000002</v>
      </c>
    </row>
    <row r="32" spans="1:17" s="21" customFormat="1" ht="12.95" customHeight="1" x14ac:dyDescent="0.2">
      <c r="A32" s="44" t="s">
        <v>53</v>
      </c>
      <c r="B32" s="45"/>
      <c r="C32" s="44">
        <v>56293.463369999998</v>
      </c>
      <c r="D32" s="44">
        <v>3.8999999999999999E-4</v>
      </c>
      <c r="E32" s="21">
        <f t="shared" si="0"/>
        <v>3576.9959649953885</v>
      </c>
      <c r="F32" s="21">
        <f t="shared" si="1"/>
        <v>3577</v>
      </c>
      <c r="G32" s="21">
        <f t="shared" si="2"/>
        <v>-4.5910000044386834E-3</v>
      </c>
      <c r="K32" s="21">
        <f t="shared" si="5"/>
        <v>-4.5910000044386834E-3</v>
      </c>
      <c r="O32" s="21">
        <f t="shared" ca="1" si="3"/>
        <v>-4.6250530779000567E-3</v>
      </c>
      <c r="Q32" s="39">
        <f t="shared" si="4"/>
        <v>41274.963369999998</v>
      </c>
    </row>
    <row r="33" spans="1:17" s="21" customFormat="1" ht="12.95" customHeight="1" x14ac:dyDescent="0.2">
      <c r="A33" s="46" t="s">
        <v>54</v>
      </c>
      <c r="B33" s="47" t="s">
        <v>45</v>
      </c>
      <c r="C33" s="48">
        <v>57407.362399999998</v>
      </c>
      <c r="D33" s="48">
        <v>5.9999999999999995E-4</v>
      </c>
      <c r="E33" s="21">
        <f>+(C33-C$7)/C$8</f>
        <v>4555.9956863858351</v>
      </c>
      <c r="F33" s="21">
        <f t="shared" si="1"/>
        <v>4556</v>
      </c>
      <c r="G33" s="21">
        <f>+C33-(C$7+F33*C$8)</f>
        <v>-4.9080000026151538E-3</v>
      </c>
      <c r="K33" s="21">
        <f t="shared" si="5"/>
        <v>-4.9080000026151538E-3</v>
      </c>
      <c r="O33" s="21">
        <f ca="1">+C$11+C$12*$F33</f>
        <v>-5.7152147093252363E-3</v>
      </c>
      <c r="Q33" s="39">
        <f>+C33-15018.5</f>
        <v>42388.862399999998</v>
      </c>
    </row>
    <row r="34" spans="1:17" s="21" customFormat="1" ht="12.95" customHeight="1" x14ac:dyDescent="0.2">
      <c r="A34" s="46" t="s">
        <v>54</v>
      </c>
      <c r="B34" s="47" t="s">
        <v>45</v>
      </c>
      <c r="C34" s="48">
        <v>57407.363660000003</v>
      </c>
      <c r="D34" s="48">
        <v>5.0000000000000001E-4</v>
      </c>
      <c r="E34" s="21">
        <f>+(C34-C$7)/C$8</f>
        <v>4555.9967937928986</v>
      </c>
      <c r="F34" s="21">
        <f t="shared" si="1"/>
        <v>4556</v>
      </c>
      <c r="G34" s="21">
        <f>+C34-(C$7+F34*C$8)</f>
        <v>-3.647999998065643E-3</v>
      </c>
      <c r="K34" s="21">
        <f>+G34</f>
        <v>-3.647999998065643E-3</v>
      </c>
      <c r="O34" s="21">
        <f ca="1">+C$11+C$12*$F34</f>
        <v>-5.7152147093252363E-3</v>
      </c>
      <c r="Q34" s="39">
        <f>+C34-15018.5</f>
        <v>42388.863660000003</v>
      </c>
    </row>
    <row r="35" spans="1:17" s="21" customFormat="1" ht="12.95" customHeight="1" x14ac:dyDescent="0.2">
      <c r="A35" s="49" t="s">
        <v>55</v>
      </c>
      <c r="B35" s="50" t="s">
        <v>45</v>
      </c>
      <c r="C35" s="51">
        <v>58175.370870000217</v>
      </c>
      <c r="D35" s="51">
        <v>2.0000000000000001E-4</v>
      </c>
      <c r="E35" s="21">
        <f>+(C35-C$7)/C$8</f>
        <v>5230.9940999814708</v>
      </c>
      <c r="F35" s="21">
        <f>ROUND(2*E35,0)/2</f>
        <v>5231</v>
      </c>
      <c r="G35" s="21">
        <f>+C35-(C$7+F35*C$8)</f>
        <v>-6.7129997842130251E-3</v>
      </c>
      <c r="K35" s="21">
        <f>+G35</f>
        <v>-6.7129997842130251E-3</v>
      </c>
      <c r="O35" s="21">
        <f ca="1">+C$11+C$12*$F35</f>
        <v>-6.4668583264978572E-3</v>
      </c>
      <c r="Q35" s="39">
        <f>+C35-15018.5</f>
        <v>43156.870870000217</v>
      </c>
    </row>
    <row r="36" spans="1:17" s="21" customFormat="1" ht="12.95" customHeight="1" x14ac:dyDescent="0.2"/>
    <row r="37" spans="1:17" s="21" customFormat="1" ht="12.95" customHeight="1" x14ac:dyDescent="0.2"/>
    <row r="38" spans="1:17" s="21" customFormat="1" ht="12.95" customHeight="1" x14ac:dyDescent="0.2"/>
    <row r="39" spans="1:17" s="21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18" sqref="A18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9" t="s">
        <v>56</v>
      </c>
      <c r="I1" s="10" t="s">
        <v>57</v>
      </c>
      <c r="J1" s="11" t="s">
        <v>37</v>
      </c>
    </row>
    <row r="2" spans="1:16" x14ac:dyDescent="0.2">
      <c r="I2" s="12" t="s">
        <v>2</v>
      </c>
      <c r="J2" s="13" t="s">
        <v>36</v>
      </c>
    </row>
    <row r="3" spans="1:16" x14ac:dyDescent="0.2">
      <c r="A3" s="14" t="s">
        <v>58</v>
      </c>
      <c r="I3" s="12" t="s">
        <v>59</v>
      </c>
      <c r="J3" s="13" t="s">
        <v>34</v>
      </c>
    </row>
    <row r="4" spans="1:16" x14ac:dyDescent="0.2">
      <c r="I4" s="12" t="s">
        <v>60</v>
      </c>
      <c r="J4" s="13" t="s">
        <v>34</v>
      </c>
    </row>
    <row r="5" spans="1:16" x14ac:dyDescent="0.2">
      <c r="I5" s="15" t="s">
        <v>61</v>
      </c>
      <c r="J5" s="16" t="s">
        <v>35</v>
      </c>
    </row>
    <row r="12" spans="1:16" ht="12.75" customHeight="1" x14ac:dyDescent="0.2">
      <c r="A12" s="4" t="str">
        <f t="shared" ref="A12:A19" si="0">P12</f>
        <v>BAVM 144 </v>
      </c>
      <c r="B12" s="3" t="str">
        <f t="shared" ref="B12:B19" si="1">IF(H12=INT(H12),"I","II")</f>
        <v>I</v>
      </c>
      <c r="C12" s="4">
        <f t="shared" ref="C12:C19" si="2">1*G12</f>
        <v>52223.582399999999</v>
      </c>
      <c r="D12" t="str">
        <f t="shared" ref="D12:D19" si="3">VLOOKUP(F12,I$1:J$5,2,FALSE)</f>
        <v>vis</v>
      </c>
      <c r="E12">
        <f>VLOOKUP(C12,Active!C$21:E$973,3,FALSE)</f>
        <v>0</v>
      </c>
      <c r="F12" s="3" t="s">
        <v>61</v>
      </c>
      <c r="G12" t="str">
        <f t="shared" ref="G12:G19" si="4">MID(I12,3,LEN(I12)-3)</f>
        <v>52223.5824</v>
      </c>
      <c r="H12" s="4">
        <f t="shared" ref="H12:H19" si="5">1*K12</f>
        <v>-243</v>
      </c>
      <c r="I12" s="17" t="s">
        <v>62</v>
      </c>
      <c r="J12" s="18" t="s">
        <v>63</v>
      </c>
      <c r="K12" s="17">
        <v>-243</v>
      </c>
      <c r="L12" s="17" t="s">
        <v>64</v>
      </c>
      <c r="M12" s="18" t="s">
        <v>65</v>
      </c>
      <c r="N12" s="18" t="s">
        <v>66</v>
      </c>
      <c r="O12" s="19" t="s">
        <v>67</v>
      </c>
      <c r="P12" s="20" t="s">
        <v>44</v>
      </c>
    </row>
    <row r="13" spans="1:16" ht="12.75" customHeight="1" x14ac:dyDescent="0.2">
      <c r="A13" s="4" t="str">
        <f t="shared" si="0"/>
        <v>BAVM 172 </v>
      </c>
      <c r="B13" s="3" t="str">
        <f t="shared" si="1"/>
        <v>I</v>
      </c>
      <c r="C13" s="4">
        <f t="shared" si="2"/>
        <v>52618.395299999996</v>
      </c>
      <c r="D13" t="str">
        <f t="shared" si="3"/>
        <v>vis</v>
      </c>
      <c r="E13">
        <f>VLOOKUP(C13,Active!C$21:E$973,3,FALSE)</f>
        <v>346.998882925099</v>
      </c>
      <c r="F13" s="3" t="s">
        <v>61</v>
      </c>
      <c r="G13" t="str">
        <f t="shared" si="4"/>
        <v>52618.3953</v>
      </c>
      <c r="H13" s="4">
        <f t="shared" si="5"/>
        <v>104</v>
      </c>
      <c r="I13" s="17" t="s">
        <v>68</v>
      </c>
      <c r="J13" s="18" t="s">
        <v>69</v>
      </c>
      <c r="K13" s="17">
        <v>104</v>
      </c>
      <c r="L13" s="17" t="s">
        <v>70</v>
      </c>
      <c r="M13" s="18" t="s">
        <v>65</v>
      </c>
      <c r="N13" s="18" t="s">
        <v>66</v>
      </c>
      <c r="O13" s="19" t="s">
        <v>71</v>
      </c>
      <c r="P13" s="20" t="s">
        <v>72</v>
      </c>
    </row>
    <row r="14" spans="1:16" ht="12.75" customHeight="1" x14ac:dyDescent="0.2">
      <c r="A14" s="4" t="str">
        <f t="shared" si="0"/>
        <v>IBVS 5894 </v>
      </c>
      <c r="B14" s="3" t="str">
        <f t="shared" si="1"/>
        <v>I</v>
      </c>
      <c r="C14" s="4">
        <f t="shared" si="2"/>
        <v>54874.6374</v>
      </c>
      <c r="D14" t="str">
        <f t="shared" si="3"/>
        <v>vis</v>
      </c>
      <c r="E14">
        <f>VLOOKUP(C14,Active!C$21:E$973,3,FALSE)</f>
        <v>2329.9976357738183</v>
      </c>
      <c r="F14" s="3" t="s">
        <v>61</v>
      </c>
      <c r="G14" t="str">
        <f t="shared" si="4"/>
        <v>54874.6374</v>
      </c>
      <c r="H14" s="4">
        <f t="shared" si="5"/>
        <v>2087</v>
      </c>
      <c r="I14" s="17" t="s">
        <v>73</v>
      </c>
      <c r="J14" s="18" t="s">
        <v>74</v>
      </c>
      <c r="K14" s="17">
        <v>2087</v>
      </c>
      <c r="L14" s="17" t="s">
        <v>75</v>
      </c>
      <c r="M14" s="18" t="s">
        <v>76</v>
      </c>
      <c r="N14" s="18" t="s">
        <v>61</v>
      </c>
      <c r="O14" s="19" t="s">
        <v>77</v>
      </c>
      <c r="P14" s="20" t="s">
        <v>78</v>
      </c>
    </row>
    <row r="15" spans="1:16" ht="12.75" customHeight="1" x14ac:dyDescent="0.2">
      <c r="A15" s="4" t="str">
        <f t="shared" si="0"/>
        <v>IBVS 5960 </v>
      </c>
      <c r="B15" s="3" t="str">
        <f t="shared" si="1"/>
        <v>I</v>
      </c>
      <c r="C15" s="4">
        <f t="shared" si="2"/>
        <v>55528.867100000003</v>
      </c>
      <c r="D15" t="str">
        <f t="shared" si="3"/>
        <v>vis</v>
      </c>
      <c r="E15">
        <f>VLOOKUP(C15,Active!C$21:E$973,3,FALSE)</f>
        <v>2904.9965151833449</v>
      </c>
      <c r="F15" s="3" t="s">
        <v>61</v>
      </c>
      <c r="G15" t="str">
        <f t="shared" si="4"/>
        <v>55528.8671</v>
      </c>
      <c r="H15" s="4">
        <f t="shared" si="5"/>
        <v>2662</v>
      </c>
      <c r="I15" s="17" t="s">
        <v>79</v>
      </c>
      <c r="J15" s="18" t="s">
        <v>80</v>
      </c>
      <c r="K15" s="17">
        <v>2662</v>
      </c>
      <c r="L15" s="17" t="s">
        <v>81</v>
      </c>
      <c r="M15" s="18" t="s">
        <v>76</v>
      </c>
      <c r="N15" s="18" t="s">
        <v>61</v>
      </c>
      <c r="O15" s="19" t="s">
        <v>77</v>
      </c>
      <c r="P15" s="20" t="s">
        <v>82</v>
      </c>
    </row>
    <row r="16" spans="1:16" ht="12.75" customHeight="1" x14ac:dyDescent="0.2">
      <c r="A16" s="4" t="str">
        <f t="shared" si="0"/>
        <v>IBVS 6029 </v>
      </c>
      <c r="B16" s="3" t="str">
        <f t="shared" si="1"/>
        <v>I</v>
      </c>
      <c r="C16" s="4">
        <f t="shared" si="2"/>
        <v>55956.675499999998</v>
      </c>
      <c r="D16" t="str">
        <f t="shared" si="3"/>
        <v>vis</v>
      </c>
      <c r="E16">
        <f>VLOOKUP(C16,Active!C$21:E$973,3,FALSE)</f>
        <v>3280.9949612978794</v>
      </c>
      <c r="F16" s="3" t="s">
        <v>61</v>
      </c>
      <c r="G16" t="str">
        <f t="shared" si="4"/>
        <v>55956.6755</v>
      </c>
      <c r="H16" s="4">
        <f t="shared" si="5"/>
        <v>3038</v>
      </c>
      <c r="I16" s="17" t="s">
        <v>83</v>
      </c>
      <c r="J16" s="18" t="s">
        <v>84</v>
      </c>
      <c r="K16" s="17">
        <v>3038</v>
      </c>
      <c r="L16" s="17" t="s">
        <v>85</v>
      </c>
      <c r="M16" s="18" t="s">
        <v>76</v>
      </c>
      <c r="N16" s="18" t="s">
        <v>61</v>
      </c>
      <c r="O16" s="19" t="s">
        <v>77</v>
      </c>
      <c r="P16" s="20" t="s">
        <v>86</v>
      </c>
    </row>
    <row r="17" spans="1:16" ht="12.75" customHeight="1" x14ac:dyDescent="0.2">
      <c r="A17" s="4" t="str">
        <f t="shared" si="0"/>
        <v>IBVS 6042 </v>
      </c>
      <c r="B17" s="3" t="str">
        <f t="shared" si="1"/>
        <v>I</v>
      </c>
      <c r="C17" s="4">
        <f t="shared" si="2"/>
        <v>56255.915099999998</v>
      </c>
      <c r="D17" t="str">
        <f t="shared" si="3"/>
        <v>vis</v>
      </c>
      <c r="E17">
        <f>VLOOKUP(C17,Active!C$21:E$973,3,FALSE)</f>
        <v>3543.9949973325542</v>
      </c>
      <c r="F17" s="3" t="s">
        <v>61</v>
      </c>
      <c r="G17" t="str">
        <f t="shared" si="4"/>
        <v>56255.9151</v>
      </c>
      <c r="H17" s="4">
        <f t="shared" si="5"/>
        <v>3301</v>
      </c>
      <c r="I17" s="17" t="s">
        <v>87</v>
      </c>
      <c r="J17" s="18" t="s">
        <v>88</v>
      </c>
      <c r="K17" s="17">
        <v>3301</v>
      </c>
      <c r="L17" s="17" t="s">
        <v>70</v>
      </c>
      <c r="M17" s="18" t="s">
        <v>76</v>
      </c>
      <c r="N17" s="18" t="s">
        <v>61</v>
      </c>
      <c r="O17" s="19" t="s">
        <v>77</v>
      </c>
      <c r="P17" s="20" t="s">
        <v>89</v>
      </c>
    </row>
    <row r="18" spans="1:16" ht="12.75" customHeight="1" x14ac:dyDescent="0.2">
      <c r="A18" s="4" t="str">
        <f t="shared" si="0"/>
        <v>OEJV 0160 </v>
      </c>
      <c r="B18" s="3" t="str">
        <f t="shared" si="1"/>
        <v>I</v>
      </c>
      <c r="C18" s="4">
        <f t="shared" si="2"/>
        <v>56293.462200000002</v>
      </c>
      <c r="D18" t="str">
        <f t="shared" si="3"/>
        <v>vis</v>
      </c>
      <c r="E18">
        <f>VLOOKUP(C18,Active!C$21:E$973,3,FALSE)</f>
        <v>3576.9949366888372</v>
      </c>
      <c r="F18" s="3" t="s">
        <v>61</v>
      </c>
      <c r="G18" t="str">
        <f t="shared" si="4"/>
        <v>56293.4622</v>
      </c>
      <c r="H18" s="4">
        <f t="shared" si="5"/>
        <v>3334</v>
      </c>
      <c r="I18" s="17" t="s">
        <v>90</v>
      </c>
      <c r="J18" s="18" t="s">
        <v>91</v>
      </c>
      <c r="K18" s="17">
        <v>3334</v>
      </c>
      <c r="L18" s="17" t="s">
        <v>70</v>
      </c>
      <c r="M18" s="18" t="s">
        <v>76</v>
      </c>
      <c r="N18" s="18" t="s">
        <v>57</v>
      </c>
      <c r="O18" s="19" t="s">
        <v>92</v>
      </c>
      <c r="P18" s="20" t="s">
        <v>93</v>
      </c>
    </row>
    <row r="19" spans="1:16" ht="12.75" customHeight="1" x14ac:dyDescent="0.2">
      <c r="A19" s="4" t="str">
        <f t="shared" si="0"/>
        <v>BAVM 144 </v>
      </c>
      <c r="B19" s="3" t="str">
        <f t="shared" si="1"/>
        <v>I</v>
      </c>
      <c r="C19" s="4">
        <f t="shared" si="2"/>
        <v>51957.339399999997</v>
      </c>
      <c r="D19" t="str">
        <f t="shared" si="3"/>
        <v>vis</v>
      </c>
      <c r="E19">
        <f>VLOOKUP(C19,Active!C$21:E$973,3,FALSE)</f>
        <v>-233.99950606129778</v>
      </c>
      <c r="F19" s="3" t="s">
        <v>61</v>
      </c>
      <c r="G19" t="str">
        <f t="shared" si="4"/>
        <v>51957.3394</v>
      </c>
      <c r="H19" s="4">
        <f t="shared" si="5"/>
        <v>-477</v>
      </c>
      <c r="I19" s="17" t="s">
        <v>94</v>
      </c>
      <c r="J19" s="18" t="s">
        <v>95</v>
      </c>
      <c r="K19" s="17">
        <v>-477</v>
      </c>
      <c r="L19" s="17" t="s">
        <v>96</v>
      </c>
      <c r="M19" s="18" t="s">
        <v>65</v>
      </c>
      <c r="N19" s="18" t="s">
        <v>66</v>
      </c>
      <c r="O19" s="19" t="s">
        <v>97</v>
      </c>
      <c r="P19" s="20" t="s">
        <v>44</v>
      </c>
    </row>
  </sheetData>
  <sheetProtection selectLockedCells="1" selectUnlockedCells="1"/>
  <hyperlinks>
    <hyperlink ref="P12" r:id="rId1"/>
    <hyperlink ref="P13" r:id="rId2"/>
    <hyperlink ref="P14" r:id="rId3"/>
    <hyperlink ref="P15" r:id="rId4"/>
    <hyperlink ref="P16" r:id="rId5"/>
    <hyperlink ref="P17" r:id="rId6"/>
    <hyperlink ref="P18" r:id="rId7"/>
    <hyperlink ref="P19" r:id="rId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2024-03-01T04:20:56Z</dcterms:created>
  <dcterms:modified xsi:type="dcterms:W3CDTF">2024-03-01T04:20:56Z</dcterms:modified>
</cp:coreProperties>
</file>