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FCA479C-57EF-4A9D-BF70-873B0FAFA57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Q24" i="1"/>
  <c r="Q25" i="1"/>
  <c r="F11" i="1"/>
  <c r="Q22" i="1"/>
  <c r="G11" i="1"/>
  <c r="E14" i="1"/>
  <c r="E15" i="1" s="1"/>
  <c r="C17" i="1"/>
  <c r="C21" i="1"/>
  <c r="E21" i="1" s="1"/>
  <c r="F21" i="1" s="1"/>
  <c r="G21" i="1" s="1"/>
  <c r="H21" i="1" s="1"/>
  <c r="A21" i="1"/>
  <c r="C7" i="1"/>
  <c r="E25" i="1" s="1"/>
  <c r="F25" i="1" s="1"/>
  <c r="C8" i="1"/>
  <c r="E23" i="1"/>
  <c r="F23" i="1" s="1"/>
  <c r="G23" i="1" s="1"/>
  <c r="I23" i="1" s="1"/>
  <c r="Q21" i="1"/>
  <c r="E24" i="1"/>
  <c r="F24" i="1"/>
  <c r="G24" i="1" s="1"/>
  <c r="I24" i="1" s="1"/>
  <c r="G25" i="1" l="1"/>
  <c r="I25" i="1" s="1"/>
  <c r="E22" i="1"/>
  <c r="F22" i="1" s="1"/>
  <c r="G22" i="1" s="1"/>
  <c r="C11" i="1"/>
  <c r="C12" i="1"/>
  <c r="I22" i="1" l="1"/>
  <c r="C16" i="1"/>
  <c r="D18" i="1" s="1"/>
  <c r="O21" i="1"/>
  <c r="O24" i="1"/>
  <c r="O22" i="1"/>
  <c r="O23" i="1"/>
  <c r="O25" i="1"/>
  <c r="C15" i="1"/>
  <c r="C18" i="1" l="1"/>
  <c r="E16" i="1"/>
  <c r="E17" i="1" s="1"/>
</calcChain>
</file>

<file path=xl/sharedStrings.xml><?xml version="1.0" encoding="utf-8"?>
<sst xmlns="http://schemas.openxmlformats.org/spreadsheetml/2006/main" count="60" uniqueCount="51">
  <si>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</si>
  <si>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</si>
  <si>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</si>
  <si>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</si>
  <si>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</si>
  <si>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</si>
  <si>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</si>
  <si>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</si>
  <si>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</si>
  <si>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</si>
  <si>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</si>
  <si>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</si>
  <si>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</si>
  <si>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</si>
  <si>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</si>
  <si>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</si>
  <si>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</si>
  <si>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</si>
  <si>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</si>
  <si>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</si>
  <si>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</si>
  <si>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</si>
  <si>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</si>
  <si>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</si>
  <si>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</si>
  <si>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</si>
  <si>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</si>
  <si>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</si>
  <si>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</si>
  <si>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</si>
  <si>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</si>
  <si>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</si>
  <si>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</si>
  <si>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</si>
  <si>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</si>
  <si>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</si>
  <si>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</si>
  <si>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SAO 112704 _Ori.xls</t>
  </si>
  <si>
    <t>EA</t>
  </si>
  <si>
    <t>IBVS 5557 Eph.</t>
  </si>
  <si>
    <t>IBVS 5557</t>
  </si>
  <si>
    <t>Ori</t>
  </si>
  <si>
    <t>aka GSC 0101-2569</t>
  </si>
  <si>
    <t>Add cycle</t>
  </si>
  <si>
    <t>Old Cycle</t>
  </si>
  <si>
    <t>IBVS 6007</t>
  </si>
  <si>
    <t>I</t>
  </si>
  <si>
    <t>V1804 Ori / GSC 0101-01077 / SAO 112704 / NSV 16296</t>
  </si>
  <si>
    <t>IBVS 6114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</si>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</sst>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V1804 Ori 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3456</c:v>
                </c:pt>
                <c:pt idx="2">
                  <c:v>3626</c:v>
                </c:pt>
                <c:pt idx="3">
                  <c:v>3762</c:v>
                </c:pt>
                <c:pt idx="4">
                  <c:v>3783.5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9F-49DC-A686-C0DE7A8119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3456</c:v>
                </c:pt>
                <c:pt idx="2">
                  <c:v>3626</c:v>
                </c:pt>
                <c:pt idx="3">
                  <c:v>3762</c:v>
                </c:pt>
                <c:pt idx="4">
                  <c:v>3783.5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2.719999996770639E-3</c:v>
                </c:pt>
                <c:pt idx="2">
                  <c:v>-1.2099999999918509E-2</c:v>
                </c:pt>
                <c:pt idx="3">
                  <c:v>3.6199999958625995E-3</c:v>
                </c:pt>
                <c:pt idx="4">
                  <c:v>1.8499999932828359E-3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9F-49DC-A686-C0DE7A8119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3456</c:v>
                </c:pt>
                <c:pt idx="2">
                  <c:v>3626</c:v>
                </c:pt>
                <c:pt idx="3">
                  <c:v>3762</c:v>
                </c:pt>
                <c:pt idx="4">
                  <c:v>3783.5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9F-49DC-A686-C0DE7A8119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3456</c:v>
                </c:pt>
                <c:pt idx="2">
                  <c:v>3626</c:v>
                </c:pt>
                <c:pt idx="3">
                  <c:v>3762</c:v>
                </c:pt>
                <c:pt idx="4">
                  <c:v>3783.5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9F-49DC-A686-C0DE7A8119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3456</c:v>
                </c:pt>
                <c:pt idx="2">
                  <c:v>3626</c:v>
                </c:pt>
                <c:pt idx="3">
                  <c:v>3762</c:v>
                </c:pt>
                <c:pt idx="4">
                  <c:v>3783.5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9F-49DC-A686-C0DE7A8119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3456</c:v>
                </c:pt>
                <c:pt idx="2">
                  <c:v>3626</c:v>
                </c:pt>
                <c:pt idx="3">
                  <c:v>3762</c:v>
                </c:pt>
                <c:pt idx="4">
                  <c:v>3783.5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9F-49DC-A686-C0DE7A8119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9.8999999999999999E-4</c:v>
                  </c:pt>
                  <c:pt idx="2">
                    <c:v>6.3000000000000003E-4</c:v>
                  </c:pt>
                  <c:pt idx="3">
                    <c:v>2.8500000000000001E-3</c:v>
                  </c:pt>
                  <c:pt idx="4">
                    <c:v>1.1900000000000001E-3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3456</c:v>
                </c:pt>
                <c:pt idx="2">
                  <c:v>3626</c:v>
                </c:pt>
                <c:pt idx="3">
                  <c:v>3762</c:v>
                </c:pt>
                <c:pt idx="4">
                  <c:v>3783.5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9F-49DC-A686-C0DE7A8119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3456</c:v>
                </c:pt>
                <c:pt idx="2">
                  <c:v>3626</c:v>
                </c:pt>
                <c:pt idx="3">
                  <c:v>3762</c:v>
                </c:pt>
                <c:pt idx="4">
                  <c:v>3783.5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-1.2507214524367239E-4</c:v>
                </c:pt>
                <c:pt idx="1">
                  <c:v>-9.0112501679258752E-4</c:v>
                </c:pt>
                <c:pt idx="2">
                  <c:v>-9.3929891383058388E-4</c:v>
                </c:pt>
                <c:pt idx="3">
                  <c:v>-9.6983803146098095E-4</c:v>
                </c:pt>
                <c:pt idx="4">
                  <c:v>-9.7466590667460995E-4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9F-49DC-A686-C0DE7A811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435832"/>
        <c:axId val="1"/>
      </c:scatterChart>
      <c:valAx>
        <c:axId val="659435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435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D18288-7A34-EE4D-3653-C63048DAB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47</v>
      </c>
      <c r="E1" s="4"/>
      <c r="F1" s="4" t="s">
        <v>37</v>
      </c>
      <c r="G1" s="5" t="s">
        <v>38</v>
      </c>
      <c r="H1" s="6" t="s">
        <v>39</v>
      </c>
      <c r="I1" s="5">
        <v>48188.925000000003</v>
      </c>
      <c r="J1" s="5">
        <v>2.22878</v>
      </c>
      <c r="K1" s="5" t="s">
        <v>40</v>
      </c>
      <c r="L1" s="5" t="s">
        <v>41</v>
      </c>
    </row>
    <row r="2" spans="1:12" s="4" customFormat="1" ht="12.95" customHeight="1" x14ac:dyDescent="0.2">
      <c r="A2" s="4" t="s">
        <v>23</v>
      </c>
      <c r="B2" s="4" t="s">
        <v>38</v>
      </c>
      <c r="D2" s="5" t="s">
        <v>41</v>
      </c>
      <c r="E2" s="4" t="s">
        <v>37</v>
      </c>
    </row>
    <row r="3" spans="1:12" s="4" customFormat="1" ht="12.95" customHeight="1" thickBot="1" x14ac:dyDescent="0.25">
      <c r="A3" s="9" t="s">
        <v>42</v>
      </c>
    </row>
    <row r="4" spans="1:12" s="4" customFormat="1" ht="12.95" customHeight="1" thickTop="1" thickBot="1" x14ac:dyDescent="0.25">
      <c r="A4" s="6" t="s">
        <v>39</v>
      </c>
      <c r="C4" s="10">
        <v>48188.925000000003</v>
      </c>
      <c r="D4" s="11">
        <v>2.22878</v>
      </c>
    </row>
    <row r="5" spans="1:12" s="4" customFormat="1" ht="12.95" customHeight="1" x14ac:dyDescent="0.2"/>
    <row r="6" spans="1:12" s="4" customFormat="1" ht="12.95" customHeight="1" x14ac:dyDescent="0.2">
      <c r="A6" s="12" t="s">
        <v>0</v>
      </c>
    </row>
    <row r="7" spans="1:12" s="4" customFormat="1" ht="12.95" customHeight="1" x14ac:dyDescent="0.2">
      <c r="A7" s="4" t="s">
        <v>1</v>
      </c>
      <c r="C7" s="4">
        <f>+C4</f>
        <v>48188.925000000003</v>
      </c>
    </row>
    <row r="8" spans="1:12" s="4" customFormat="1" ht="12.95" customHeight="1" x14ac:dyDescent="0.2">
      <c r="A8" s="4" t="s">
        <v>2</v>
      </c>
      <c r="C8" s="4">
        <f>+D4</f>
        <v>2.22878</v>
      </c>
    </row>
    <row r="9" spans="1:12" s="4" customFormat="1" ht="12.95" customHeight="1" x14ac:dyDescent="0.2">
      <c r="A9" s="6" t="s">
        <v>30</v>
      </c>
      <c r="C9" s="13">
        <v>-9.5</v>
      </c>
      <c r="D9" s="4" t="s">
        <v>31</v>
      </c>
    </row>
    <row r="10" spans="1:12" s="4" customFormat="1" ht="12.95" customHeight="1" thickBot="1" x14ac:dyDescent="0.25">
      <c r="C10" s="14" t="s">
        <v>19</v>
      </c>
      <c r="D10" s="14" t="s">
        <v>20</v>
      </c>
    </row>
    <row r="11" spans="1:12" s="4" customFormat="1" ht="12.95" customHeight="1" x14ac:dyDescent="0.2">
      <c r="A11" s="4" t="s">
        <v>14</v>
      </c>
      <c r="C11" s="15">
        <f ca="1">INTERCEPT(INDIRECT($G$11):G992,INDIRECT($F$11):F992)</f>
        <v>-1.2507214524367239E-4</v>
      </c>
      <c r="D11" s="16"/>
      <c r="F11" s="17" t="str">
        <f>"F"&amp;E19</f>
        <v>F21</v>
      </c>
      <c r="G11" s="15" t="str">
        <f>"G"&amp;E19</f>
        <v>G21</v>
      </c>
    </row>
    <row r="12" spans="1:12" s="4" customFormat="1" ht="12.95" customHeight="1" x14ac:dyDescent="0.2">
      <c r="A12" s="4" t="s">
        <v>15</v>
      </c>
      <c r="C12" s="15">
        <f ca="1">SLOPE(INDIRECT($G$11):G992,INDIRECT($F$11):F992)</f>
        <v>-2.2455233551762589E-7</v>
      </c>
      <c r="D12" s="16"/>
    </row>
    <row r="13" spans="1:12" s="4" customFormat="1" ht="12.95" customHeight="1" x14ac:dyDescent="0.2">
      <c r="A13" s="4" t="s">
        <v>18</v>
      </c>
      <c r="C13" s="16" t="s">
        <v>12</v>
      </c>
      <c r="D13" s="18" t="s">
        <v>43</v>
      </c>
      <c r="E13" s="13">
        <v>1</v>
      </c>
    </row>
    <row r="14" spans="1:12" s="4" customFormat="1" ht="12.95" customHeight="1" x14ac:dyDescent="0.2">
      <c r="D14" s="18" t="s">
        <v>32</v>
      </c>
      <c r="E14" s="19">
        <f ca="1">NOW()+15018.5+$C$9/24</f>
        <v>60370.727727777776</v>
      </c>
    </row>
    <row r="15" spans="1:12" s="4" customFormat="1" ht="12.95" customHeight="1" x14ac:dyDescent="0.2">
      <c r="A15" s="20" t="s">
        <v>16</v>
      </c>
      <c r="C15" s="21">
        <f ca="1">(C7+C11)+(C8+C12)*INT(MAX(F21:F3533))</f>
        <v>56620.398765446371</v>
      </c>
      <c r="D15" s="18" t="s">
        <v>44</v>
      </c>
      <c r="E15" s="19">
        <f ca="1">ROUND(2*(E14-$C$7)/$C$8,0)/2+E13</f>
        <v>5466.5</v>
      </c>
    </row>
    <row r="16" spans="1:12" s="4" customFormat="1" ht="12.95" customHeight="1" x14ac:dyDescent="0.2">
      <c r="A16" s="12" t="s">
        <v>3</v>
      </c>
      <c r="C16" s="22">
        <f ca="1">+C8+C12</f>
        <v>2.2287797754476646</v>
      </c>
      <c r="D16" s="18" t="s">
        <v>33</v>
      </c>
      <c r="E16" s="15">
        <f ca="1">ROUND(2*(E14-$C$15)/$C$16,0)/2+E13</f>
        <v>1683.5</v>
      </c>
    </row>
    <row r="17" spans="1:17" s="4" customFormat="1" ht="12.95" customHeight="1" thickBot="1" x14ac:dyDescent="0.25">
      <c r="A17" s="18" t="s">
        <v>29</v>
      </c>
      <c r="C17" s="4">
        <f>COUNT(C21:C2191)</f>
        <v>5</v>
      </c>
      <c r="D17" s="18" t="s">
        <v>34</v>
      </c>
      <c r="E17" s="23">
        <f ca="1">+$C$15+$C$16*E16-15018.5-$C$9/24</f>
        <v>45354.445350745853</v>
      </c>
    </row>
    <row r="18" spans="1:17" s="4" customFormat="1" ht="12.95" customHeight="1" thickTop="1" thickBot="1" x14ac:dyDescent="0.25">
      <c r="A18" s="12" t="s">
        <v>4</v>
      </c>
      <c r="C18" s="24">
        <f ca="1">+C15</f>
        <v>56620.398765446371</v>
      </c>
      <c r="D18" s="25">
        <f ca="1">+C16</f>
        <v>2.2287797754476646</v>
      </c>
      <c r="E18" s="26" t="s">
        <v>35</v>
      </c>
    </row>
    <row r="19" spans="1:17" s="4" customFormat="1" ht="12.95" customHeight="1" thickTop="1" x14ac:dyDescent="0.2">
      <c r="A19" s="27" t="s">
        <v>36</v>
      </c>
      <c r="E19" s="28">
        <v>21</v>
      </c>
    </row>
    <row r="20" spans="1:17" s="4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28</v>
      </c>
      <c r="I20" s="29" t="s">
        <v>50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7" s="4" customFormat="1" ht="12.95" customHeight="1" x14ac:dyDescent="0.2">
      <c r="A21" s="4" t="str">
        <f>$K$1</f>
        <v>IBVS 5557</v>
      </c>
      <c r="C21" s="5">
        <f>+$C$4</f>
        <v>48188.925000000003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-1.2507214524367239E-4</v>
      </c>
      <c r="Q21" s="31">
        <f>+C21-15018.5</f>
        <v>33170.425000000003</v>
      </c>
    </row>
    <row r="22" spans="1:17" s="4" customFormat="1" ht="12.95" customHeight="1" x14ac:dyDescent="0.2">
      <c r="A22" s="7" t="s">
        <v>45</v>
      </c>
      <c r="B22" s="8" t="s">
        <v>46</v>
      </c>
      <c r="C22" s="7">
        <v>55891.591399999998</v>
      </c>
      <c r="D22" s="7">
        <v>9.8999999999999999E-4</v>
      </c>
      <c r="E22" s="4">
        <f>+(C22-C$7)/C$8</f>
        <v>3456.0012203986012</v>
      </c>
      <c r="F22" s="4">
        <f>ROUND(2*E22,0)/2</f>
        <v>3456</v>
      </c>
      <c r="G22" s="4">
        <f>+C22-(C$7+F22*C$8)</f>
        <v>2.719999996770639E-3</v>
      </c>
      <c r="I22" s="4">
        <f>+G22</f>
        <v>2.719999996770639E-3</v>
      </c>
      <c r="O22" s="4">
        <f ca="1">+C$11+C$12*$F22</f>
        <v>-9.0112501679258752E-4</v>
      </c>
      <c r="Q22" s="31">
        <f>+C22-15018.5</f>
        <v>40873.091399999998</v>
      </c>
    </row>
    <row r="23" spans="1:17" s="4" customFormat="1" ht="12.95" customHeight="1" x14ac:dyDescent="0.2">
      <c r="A23" s="32" t="s">
        <v>48</v>
      </c>
      <c r="B23" s="33" t="s">
        <v>46</v>
      </c>
      <c r="C23" s="32">
        <v>56270.46918</v>
      </c>
      <c r="D23" s="32">
        <v>6.3000000000000003E-4</v>
      </c>
      <c r="E23" s="4">
        <f>+(C23-C$7)/C$8</f>
        <v>3625.9945710209158</v>
      </c>
      <c r="F23" s="4">
        <f>ROUND(2*E23,0)/2</f>
        <v>3626</v>
      </c>
      <c r="G23" s="4">
        <f>+C23-(C$7+F23*C$8)</f>
        <v>-1.2099999999918509E-2</v>
      </c>
      <c r="I23" s="4">
        <f>+G23</f>
        <v>-1.2099999999918509E-2</v>
      </c>
      <c r="O23" s="4">
        <f ca="1">+C$11+C$12*$F23</f>
        <v>-9.3929891383058388E-4</v>
      </c>
      <c r="Q23" s="31">
        <f>+C23-15018.5</f>
        <v>41251.96918</v>
      </c>
    </row>
    <row r="24" spans="1:17" s="4" customFormat="1" ht="12.95" customHeight="1" x14ac:dyDescent="0.2">
      <c r="A24" s="32" t="s">
        <v>48</v>
      </c>
      <c r="B24" s="33" t="s">
        <v>46</v>
      </c>
      <c r="C24" s="32">
        <v>56573.598980000002</v>
      </c>
      <c r="D24" s="32">
        <v>2.8500000000000001E-3</v>
      </c>
      <c r="E24" s="4">
        <f>+(C24-C$7)/C$8</f>
        <v>3762.0016242069651</v>
      </c>
      <c r="F24" s="4">
        <f>ROUND(2*E24,0)/2</f>
        <v>3762</v>
      </c>
      <c r="G24" s="4">
        <f>+C24-(C$7+F24*C$8)</f>
        <v>3.6199999958625995E-3</v>
      </c>
      <c r="I24" s="4">
        <f>+G24</f>
        <v>3.6199999958625995E-3</v>
      </c>
      <c r="O24" s="4">
        <f ca="1">+C$11+C$12*$F24</f>
        <v>-9.6983803146098095E-4</v>
      </c>
      <c r="Q24" s="31">
        <f>+C24-15018.5</f>
        <v>41555.098980000002</v>
      </c>
    </row>
    <row r="25" spans="1:17" s="4" customFormat="1" ht="12.95" customHeight="1" x14ac:dyDescent="0.2">
      <c r="A25" s="32" t="s">
        <v>48</v>
      </c>
      <c r="B25" s="33" t="s">
        <v>49</v>
      </c>
      <c r="C25" s="32">
        <v>56621.515979999996</v>
      </c>
      <c r="D25" s="32">
        <v>1.1900000000000001E-3</v>
      </c>
      <c r="E25" s="4">
        <f>+(C25-C$7)/C$8</f>
        <v>3783.5008300505178</v>
      </c>
      <c r="F25" s="4">
        <f>ROUND(2*E25,0)/2</f>
        <v>3783.5</v>
      </c>
      <c r="G25" s="4">
        <f>+C25-(C$7+F25*C$8)</f>
        <v>1.8499999932828359E-3</v>
      </c>
      <c r="I25" s="4">
        <f>+G25</f>
        <v>1.8499999932828359E-3</v>
      </c>
      <c r="O25" s="4">
        <f ca="1">+C$11+C$12*$F25</f>
        <v>-9.7466590667460995E-4</v>
      </c>
      <c r="Q25" s="31">
        <f>+C25-15018.5</f>
        <v>41603.015979999996</v>
      </c>
    </row>
    <row r="26" spans="1:17" s="4" customFormat="1" ht="12.95" customHeight="1" x14ac:dyDescent="0.2">
      <c r="C26" s="5"/>
      <c r="D26" s="5"/>
      <c r="Q26" s="31"/>
    </row>
    <row r="27" spans="1:17" s="4" customFormat="1" ht="12.95" customHeight="1" x14ac:dyDescent="0.2">
      <c r="C27" s="5"/>
      <c r="D27" s="5"/>
      <c r="Q27" s="31"/>
    </row>
    <row r="28" spans="1:17" s="4" customFormat="1" ht="12.95" customHeight="1" x14ac:dyDescent="0.2">
      <c r="C28" s="5"/>
      <c r="D28" s="5"/>
      <c r="Q28" s="31"/>
    </row>
    <row r="29" spans="1:17" s="4" customFormat="1" ht="12.95" customHeight="1" x14ac:dyDescent="0.2">
      <c r="C29" s="5"/>
      <c r="D29" s="5"/>
      <c r="Q29" s="31"/>
    </row>
    <row r="30" spans="1:17" s="4" customFormat="1" ht="12.95" customHeight="1" x14ac:dyDescent="0.2">
      <c r="C30" s="5"/>
      <c r="D30" s="5"/>
      <c r="Q30" s="31"/>
    </row>
    <row r="31" spans="1:17" s="4" customFormat="1" ht="12.95" customHeight="1" x14ac:dyDescent="0.2">
      <c r="C31" s="5"/>
      <c r="D31" s="5"/>
      <c r="Q31" s="31"/>
    </row>
    <row r="32" spans="1:17" s="4" customFormat="1" ht="12.95" customHeight="1" x14ac:dyDescent="0.2">
      <c r="C32" s="5"/>
      <c r="D32" s="5"/>
      <c r="Q32" s="31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2024-03-01T04:27:55Z</dcterms:modified>
</cp:coreProperties>
</file>