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881D4EF-5EB6-4F38-BE71-37854E929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8" i="2" l="1"/>
  <c r="F28" i="2" s="1"/>
  <c r="G28" i="2" s="1"/>
  <c r="K28" i="2" s="1"/>
  <c r="Q28" i="2"/>
  <c r="C28" i="2"/>
  <c r="A28" i="2"/>
  <c r="E34" i="2"/>
  <c r="F34" i="2" s="1"/>
  <c r="G34" i="2" s="1"/>
  <c r="K34" i="2" s="1"/>
  <c r="Q34" i="2"/>
  <c r="E35" i="2"/>
  <c r="F35" i="2" s="1"/>
  <c r="G35" i="2" s="1"/>
  <c r="K35" i="2" s="1"/>
  <c r="Q35" i="2"/>
  <c r="E33" i="1"/>
  <c r="F33" i="1" s="1"/>
  <c r="G33" i="1" s="1"/>
  <c r="K33" i="1" s="1"/>
  <c r="Q33" i="1"/>
  <c r="E34" i="1"/>
  <c r="F34" i="1"/>
  <c r="G34" i="1" s="1"/>
  <c r="K34" i="1" s="1"/>
  <c r="Q34" i="1"/>
  <c r="E32" i="2"/>
  <c r="F32" i="2" s="1"/>
  <c r="G32" i="2" s="1"/>
  <c r="K32" i="2" s="1"/>
  <c r="Q32" i="2"/>
  <c r="E33" i="2"/>
  <c r="F33" i="2" s="1"/>
  <c r="G33" i="2" s="1"/>
  <c r="K33" i="2" s="1"/>
  <c r="Q33" i="2"/>
  <c r="E32" i="1"/>
  <c r="F32" i="1" s="1"/>
  <c r="G32" i="1" s="1"/>
  <c r="K32" i="1" s="1"/>
  <c r="E31" i="1"/>
  <c r="F31" i="1"/>
  <c r="G31" i="1" s="1"/>
  <c r="K31" i="1" s="1"/>
  <c r="E26" i="1"/>
  <c r="F26" i="1" s="1"/>
  <c r="G26" i="1" s="1"/>
  <c r="J26" i="1" s="1"/>
  <c r="E27" i="1"/>
  <c r="F27" i="1"/>
  <c r="G27" i="1" s="1"/>
  <c r="K27" i="1" s="1"/>
  <c r="E28" i="1"/>
  <c r="F28" i="1" s="1"/>
  <c r="G28" i="1" s="1"/>
  <c r="K28" i="1" s="1"/>
  <c r="E29" i="1"/>
  <c r="F29" i="1"/>
  <c r="G29" i="1" s="1"/>
  <c r="K29" i="1" s="1"/>
  <c r="E30" i="1"/>
  <c r="F30" i="1" s="1"/>
  <c r="G30" i="1" s="1"/>
  <c r="K30" i="1" s="1"/>
  <c r="Q32" i="1"/>
  <c r="Q31" i="1"/>
  <c r="C9" i="2"/>
  <c r="D9" i="2"/>
  <c r="E21" i="2"/>
  <c r="F21" i="2" s="1"/>
  <c r="G21" i="2" s="1"/>
  <c r="I21" i="2" s="1"/>
  <c r="E22" i="2"/>
  <c r="F22" i="2" s="1"/>
  <c r="G22" i="2" s="1"/>
  <c r="K22" i="2" s="1"/>
  <c r="E23" i="2"/>
  <c r="F23" i="2" s="1"/>
  <c r="G23" i="2" s="1"/>
  <c r="K23" i="2" s="1"/>
  <c r="E24" i="2"/>
  <c r="F24" i="2" s="1"/>
  <c r="G24" i="2" s="1"/>
  <c r="K24" i="2" s="1"/>
  <c r="E25" i="2"/>
  <c r="F25" i="2" s="1"/>
  <c r="G25" i="2" s="1"/>
  <c r="K25" i="2" s="1"/>
  <c r="E26" i="2"/>
  <c r="F26" i="2" s="1"/>
  <c r="G26" i="2" s="1"/>
  <c r="J26" i="2" s="1"/>
  <c r="E29" i="2"/>
  <c r="F29" i="2" s="1"/>
  <c r="G29" i="2" s="1"/>
  <c r="K29" i="2" s="1"/>
  <c r="E27" i="2"/>
  <c r="F27" i="2"/>
  <c r="G27" i="2" s="1"/>
  <c r="K27" i="2" s="1"/>
  <c r="E30" i="2"/>
  <c r="F30" i="2" s="1"/>
  <c r="G30" i="2" s="1"/>
  <c r="K30" i="2" s="1"/>
  <c r="E31" i="2"/>
  <c r="F31" i="2" s="1"/>
  <c r="G31" i="2" s="1"/>
  <c r="K31" i="2" s="1"/>
  <c r="F16" i="2"/>
  <c r="C17" i="2"/>
  <c r="Q21" i="2"/>
  <c r="Q22" i="2"/>
  <c r="Q23" i="2"/>
  <c r="Q24" i="2"/>
  <c r="Q25" i="2"/>
  <c r="Q26" i="2"/>
  <c r="Q29" i="2"/>
  <c r="Q27" i="2"/>
  <c r="Q30" i="2"/>
  <c r="Q31" i="2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D9" i="1"/>
  <c r="C9" i="1"/>
  <c r="E21" i="1"/>
  <c r="F21" i="1"/>
  <c r="G21" i="1" s="1"/>
  <c r="I21" i="1" s="1"/>
  <c r="Q27" i="1"/>
  <c r="Q29" i="1"/>
  <c r="Q30" i="1"/>
  <c r="Q28" i="1"/>
  <c r="Q26" i="1"/>
  <c r="Q24" i="1"/>
  <c r="Q25" i="1"/>
  <c r="Q23" i="1"/>
  <c r="F16" i="1"/>
  <c r="F17" i="1" s="1"/>
  <c r="C17" i="1"/>
  <c r="Q22" i="1"/>
  <c r="Q21" i="1"/>
  <c r="C11" i="2"/>
  <c r="C12" i="2"/>
  <c r="C11" i="1"/>
  <c r="C12" i="1"/>
  <c r="O28" i="2" l="1"/>
  <c r="O34" i="2"/>
  <c r="O35" i="2"/>
  <c r="O34" i="1"/>
  <c r="O33" i="1"/>
  <c r="O32" i="1"/>
  <c r="C15" i="1"/>
  <c r="O27" i="1"/>
  <c r="O24" i="1"/>
  <c r="O31" i="1"/>
  <c r="O26" i="1"/>
  <c r="O25" i="1"/>
  <c r="O30" i="1"/>
  <c r="O21" i="1"/>
  <c r="O28" i="1"/>
  <c r="O22" i="1"/>
  <c r="O23" i="1"/>
  <c r="O29" i="1"/>
  <c r="C16" i="1"/>
  <c r="D18" i="1" s="1"/>
  <c r="C16" i="2"/>
  <c r="D18" i="2" s="1"/>
  <c r="O29" i="2"/>
  <c r="O22" i="2"/>
  <c r="O21" i="2"/>
  <c r="O31" i="2"/>
  <c r="O30" i="2"/>
  <c r="O24" i="2"/>
  <c r="O25" i="2"/>
  <c r="O26" i="2"/>
  <c r="O23" i="2"/>
  <c r="O27" i="2"/>
  <c r="C15" i="2"/>
  <c r="O33" i="2"/>
  <c r="O32" i="2"/>
  <c r="F17" i="2"/>
  <c r="F18" i="1" l="1"/>
  <c r="F19" i="1" s="1"/>
  <c r="F18" i="2"/>
  <c r="F19" i="2" s="1"/>
  <c r="C18" i="1"/>
  <c r="C18" i="2"/>
</calcChain>
</file>

<file path=xl/sharedStrings.xml><?xml version="1.0" encoding="utf-8"?>
<sst xmlns="http://schemas.openxmlformats.org/spreadsheetml/2006/main" count="147" uniqueCount="61">
  <si>
    <t>JAVSO..45..121</t>
  </si>
  <si>
    <t>JAVSO..44..164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</si>
  <si>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</si>
  <si>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</si>
  <si>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</si>
  <si>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</si>
  <si>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</si>
  <si>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</si>
  <si>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</si>
  <si>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</si>
  <si>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</si>
  <si>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</si>
  <si>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</si>
  <si>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</si>
  <si>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</si>
  <si>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</si>
  <si>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</si>
  <si>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</si>
  <si>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</si>
  <si>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</si>
  <si>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</si>
  <si>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</si>
  <si>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</si>
  <si>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</si>
  <si>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</si>
  <si>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</si>
  <si>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</si>
  <si>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</si>
  <si>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</si>
  <si>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</si>
  <si>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</si>
  <si>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</si>
  <si>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</si>
  <si>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</si>
  <si>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</si>
  <si>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</si>
  <si>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</si>
  <si>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</si>
  <si>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Ori</t>
  </si>
  <si>
    <t>not avail.</t>
  </si>
  <si>
    <t>IBVS 5966</t>
  </si>
  <si>
    <t>Add cycle</t>
  </si>
  <si>
    <t>Old Cycle</t>
  </si>
  <si>
    <t>IBVS 5960</t>
  </si>
  <si>
    <t>I</t>
  </si>
  <si>
    <t>IBVS 6018</t>
  </si>
  <si>
    <t>IBVS 6011</t>
  </si>
  <si>
    <t>II</t>
  </si>
  <si>
    <t>V2790 Ori / GSC 1322-0294</t>
  </si>
  <si>
    <t>IBVS 6084</t>
  </si>
  <si>
    <t>IBVS 6154</t>
  </si>
  <si>
    <t>VSB 060</t>
  </si>
  <si>
    <t>OEJV 0179</t>
  </si>
  <si>
    <t>Rc</t>
  </si>
  <si>
    <t>pg</t>
  </si>
  <si>
    <t>vis</t>
  </si>
  <si>
    <t>PE</t>
  </si>
  <si>
    <t>CCD</t>
  </si>
  <si>
    <t>New period from ToMcat</t>
  </si>
  <si>
    <t>VSB, 108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</si>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</sst>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6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35" fillId="0" borderId="0" xfId="43" applyFont="1" applyAlignment="1">
      <alignment horizontal="left" vertical="center"/>
    </xf>
    <xf numFmtId="0" fontId="35" fillId="0" borderId="0" xfId="43" applyFont="1" applyAlignment="1">
      <alignment horizontal="center" vertical="center"/>
    </xf>
    <xf numFmtId="0" fontId="35" fillId="0" borderId="0" xfId="43" applyFont="1" applyAlignment="1">
      <alignment horizontal="left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2" fillId="0" borderId="0" xfId="42" applyFont="1" applyAlignment="1">
      <alignment vertical="center"/>
    </xf>
    <xf numFmtId="0" fontId="32" fillId="0" borderId="0" xfId="42" applyFont="1" applyAlignment="1">
      <alignment horizontal="center" vertical="center"/>
    </xf>
    <xf numFmtId="0" fontId="32" fillId="0" borderId="0" xfId="42" applyFont="1" applyAlignment="1">
      <alignment horizontal="left" vertical="center"/>
    </xf>
    <xf numFmtId="0" fontId="16" fillId="0" borderId="0" xfId="42" applyFont="1" applyAlignment="1">
      <alignment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 vertical="center"/>
    </xf>
    <xf numFmtId="0" fontId="0" fillId="24" borderId="0" xfId="0" applyFill="1" applyAlignment="1">
      <alignment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3" fillId="25" borderId="0" xfId="0" applyFont="1" applyFill="1" applyAlignment="1">
      <alignment vertical="center"/>
    </xf>
    <xf numFmtId="0" fontId="16" fillId="0" borderId="0" xfId="41" applyFont="1" applyAlignment="1">
      <alignment horizontal="left" vertical="center"/>
    </xf>
    <xf numFmtId="0" fontId="16" fillId="0" borderId="0" xfId="41" applyFont="1" applyAlignment="1">
      <alignment horizontal="center" vertical="center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2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V2790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9-4C13-AB49-65895E29B40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89-4C13-AB49-65895E29B40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5">
                  <c:v>6.8533499994373415E-2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89-4C13-AB49-65895E29B40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1">
                  <c:v>1.944500000536209E-2</c:v>
                </c:pt>
                <c:pt idx="2">
                  <c:v>2.126700000371784E-2</c:v>
                </c:pt>
                <c:pt idx="3">
                  <c:v>5.9186500002397224E-2</c:v>
                </c:pt>
                <c:pt idx="4">
                  <c:v>6.1402000006637536E-2</c:v>
                </c:pt>
                <c:pt idx="6">
                  <c:v>0.19780249999894295</c:v>
                </c:pt>
                <c:pt idx="7">
                  <c:v>0.22604899999714689</c:v>
                </c:pt>
                <c:pt idx="8">
                  <c:v>0.23148799999762559</c:v>
                </c:pt>
                <c:pt idx="9">
                  <c:v>0.23098349999781931</c:v>
                </c:pt>
                <c:pt idx="10">
                  <c:v>0.24022550000518095</c:v>
                </c:pt>
                <c:pt idx="11">
                  <c:v>0.26996450000297045</c:v>
                </c:pt>
                <c:pt idx="12">
                  <c:v>0.22289550004643388</c:v>
                </c:pt>
                <c:pt idx="13">
                  <c:v>0.22299549987656064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89-4C13-AB49-65895E29B40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89-4C13-AB49-65895E29B40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89-4C13-AB49-65895E29B40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89-4C13-AB49-65895E29B40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-0.1256701824435362</c:v>
                </c:pt>
                <c:pt idx="1">
                  <c:v>7.6745640066024967E-2</c:v>
                </c:pt>
                <c:pt idx="2">
                  <c:v>7.735747630534856E-2</c:v>
                </c:pt>
                <c:pt idx="3">
                  <c:v>9.5778117367841559E-2</c:v>
                </c:pt>
                <c:pt idx="4">
                  <c:v>9.6076751722749515E-2</c:v>
                </c:pt>
                <c:pt idx="5">
                  <c:v>9.893927127101354E-2</c:v>
                </c:pt>
                <c:pt idx="6">
                  <c:v>0.15486401705109307</c:v>
                </c:pt>
                <c:pt idx="7">
                  <c:v>0.16916204726290554</c:v>
                </c:pt>
                <c:pt idx="8">
                  <c:v>0.17104125856939953</c:v>
                </c:pt>
                <c:pt idx="9">
                  <c:v>0.17104854233415337</c:v>
                </c:pt>
                <c:pt idx="10">
                  <c:v>0.17486523506517207</c:v>
                </c:pt>
                <c:pt idx="11">
                  <c:v>0.18985522292860055</c:v>
                </c:pt>
                <c:pt idx="12">
                  <c:v>0.29825220999543356</c:v>
                </c:pt>
                <c:pt idx="13">
                  <c:v>0.29825220999543356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89-4C13-AB49-65895E29B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5848"/>
        <c:axId val="1"/>
      </c:scatterChart>
      <c:valAx>
        <c:axId val="717675848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5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V2790 Ori - O-C Diagr.</a:t>
            </a:r>
          </a:p>
        </c:rich>
      </c:tx>
      <c:layout>
        <c:manualLayout>
          <c:xMode val="edge"/>
          <c:yMode val="edge"/>
          <c:x val="0.37237284528623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288300441506606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BD-4F16-B993-A4E667817DE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BD-4F16-B993-A4E667817DE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5">
                  <c:v>6.8533499994373415E-2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BD-4F16-B993-A4E667817DE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1">
                  <c:v>1.944500000536209E-2</c:v>
                </c:pt>
                <c:pt idx="2">
                  <c:v>2.126700000371784E-2</c:v>
                </c:pt>
                <c:pt idx="3">
                  <c:v>5.9186500002397224E-2</c:v>
                </c:pt>
                <c:pt idx="4">
                  <c:v>6.1402000006637536E-2</c:v>
                </c:pt>
                <c:pt idx="6">
                  <c:v>0.19780249999894295</c:v>
                </c:pt>
                <c:pt idx="7">
                  <c:v>0.22604899999714689</c:v>
                </c:pt>
                <c:pt idx="8">
                  <c:v>0.23148799999762559</c:v>
                </c:pt>
                <c:pt idx="9">
                  <c:v>0.23098349999781931</c:v>
                </c:pt>
                <c:pt idx="10">
                  <c:v>0.24022550000518095</c:v>
                </c:pt>
                <c:pt idx="11">
                  <c:v>0.26996450000297045</c:v>
                </c:pt>
                <c:pt idx="12">
                  <c:v>0.22289550004643388</c:v>
                </c:pt>
                <c:pt idx="13">
                  <c:v>0.22299549987656064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BD-4F16-B993-A4E667817DE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BD-4F16-B993-A4E667817DE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BD-4F16-B993-A4E667817DE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BD-4F16-B993-A4E667817DE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-0.1256701824435362</c:v>
                </c:pt>
                <c:pt idx="1">
                  <c:v>7.6745640066024967E-2</c:v>
                </c:pt>
                <c:pt idx="2">
                  <c:v>7.735747630534856E-2</c:v>
                </c:pt>
                <c:pt idx="3">
                  <c:v>9.5778117367841559E-2</c:v>
                </c:pt>
                <c:pt idx="4">
                  <c:v>9.6076751722749515E-2</c:v>
                </c:pt>
                <c:pt idx="5">
                  <c:v>9.893927127101354E-2</c:v>
                </c:pt>
                <c:pt idx="6">
                  <c:v>0.15486401705109307</c:v>
                </c:pt>
                <c:pt idx="7">
                  <c:v>0.16916204726290554</c:v>
                </c:pt>
                <c:pt idx="8">
                  <c:v>0.17104125856939953</c:v>
                </c:pt>
                <c:pt idx="9">
                  <c:v>0.17104854233415337</c:v>
                </c:pt>
                <c:pt idx="10">
                  <c:v>0.17486523506517207</c:v>
                </c:pt>
                <c:pt idx="11">
                  <c:v>0.18985522292860055</c:v>
                </c:pt>
                <c:pt idx="12">
                  <c:v>0.29825220999543356</c:v>
                </c:pt>
                <c:pt idx="13">
                  <c:v>0.29825220999543356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BD-4F16-B993-A4E667817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768"/>
        <c:axId val="1"/>
      </c:scatterChart>
      <c:valAx>
        <c:axId val="71769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95645251550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V2790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E-40B2-95EB-23076FEEFA3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0">
                  <c:v>4.4971199968131259E-3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CE-40B2-95EB-23076FEEFA3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5">
                  <c:v>-3.1680000392952934E-4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CE-40B2-95EB-23076FEEFA3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1">
                  <c:v>5.0455999735277146E-4</c:v>
                </c:pt>
                <c:pt idx="2">
                  <c:v>9.5064000197453424E-4</c:v>
                </c:pt>
                <c:pt idx="3">
                  <c:v>-2.5548799967509694E-3</c:v>
                </c:pt>
                <c:pt idx="4">
                  <c:v>-1.0109599970746785E-3</c:v>
                </c:pt>
                <c:pt idx="6">
                  <c:v>3.1865600030869246E-3</c:v>
                </c:pt>
                <c:pt idx="7">
                  <c:v>0</c:v>
                </c:pt>
                <c:pt idx="8">
                  <c:v>-7.2088000160874799E-4</c:v>
                </c:pt>
                <c:pt idx="9">
                  <c:v>4.9207999836653471E-4</c:v>
                </c:pt>
                <c:pt idx="10">
                  <c:v>-2.8800001018680632E-5</c:v>
                </c:pt>
                <c:pt idx="11">
                  <c:v>6.3008000142872334E-4</c:v>
                </c:pt>
                <c:pt idx="12">
                  <c:v>-3.3409600000595674E-3</c:v>
                </c:pt>
                <c:pt idx="13">
                  <c:v>-6.3353599543916062E-3</c:v>
                </c:pt>
                <c:pt idx="14">
                  <c:v>-6.2353601242648438E-3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CE-40B2-95EB-23076FEEFA3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CE-40B2-95EB-23076FEEFA3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CE-40B2-95EB-23076FEEFA3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CE-40B2-95EB-23076FEEFA3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0">
                  <c:v>5.334431707364016E-3</c:v>
                </c:pt>
                <c:pt idx="1">
                  <c:v>7.6591919881485336E-4</c:v>
                </c:pt>
                <c:pt idx="2">
                  <c:v>7.5210860210710769E-4</c:v>
                </c:pt>
                <c:pt idx="3">
                  <c:v>3.363109940846213E-4</c:v>
                </c:pt>
                <c:pt idx="4">
                  <c:v>3.2957010759631679E-4</c:v>
                </c:pt>
                <c:pt idx="5">
                  <c:v>2.6495624442793514E-4</c:v>
                </c:pt>
                <c:pt idx="6">
                  <c:v>-9.9739805940624862E-4</c:v>
                </c:pt>
                <c:pt idx="7">
                  <c:v>-1.3199741396514517E-3</c:v>
                </c:pt>
                <c:pt idx="8">
                  <c:v>-1.32013855151702E-3</c:v>
                </c:pt>
                <c:pt idx="9">
                  <c:v>-1.3625568128336676E-3</c:v>
                </c:pt>
                <c:pt idx="10">
                  <c:v>-1.3627212246992359E-3</c:v>
                </c:pt>
                <c:pt idx="11">
                  <c:v>-1.4488730422570781E-3</c:v>
                </c:pt>
                <c:pt idx="12">
                  <c:v>-1.7872326615968478E-3</c:v>
                </c:pt>
                <c:pt idx="13">
                  <c:v>-4.2336812212546565E-3</c:v>
                </c:pt>
                <c:pt idx="14">
                  <c:v>-4.2336812212546565E-3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CE-40B2-95EB-23076FEE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3128"/>
        <c:axId val="1"/>
      </c:scatterChart>
      <c:valAx>
        <c:axId val="717693128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000000000000002E-2"/>
          <c:min val="-1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3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V2790 Ori - O-C Diagr.</a:t>
            </a:r>
          </a:p>
        </c:rich>
      </c:tx>
      <c:layout>
        <c:manualLayout>
          <c:xMode val="edge"/>
          <c:yMode val="edge"/>
          <c:x val="0.37237284528623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46-4E8E-B25F-6C58064B174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0">
                  <c:v>4.4971199968131259E-3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6-4E8E-B25F-6C58064B174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5">
                  <c:v>-3.1680000392952934E-4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46-4E8E-B25F-6C58064B174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1">
                  <c:v>5.0455999735277146E-4</c:v>
                </c:pt>
                <c:pt idx="2">
                  <c:v>9.5064000197453424E-4</c:v>
                </c:pt>
                <c:pt idx="3">
                  <c:v>-2.5548799967509694E-3</c:v>
                </c:pt>
                <c:pt idx="4">
                  <c:v>-1.0109599970746785E-3</c:v>
                </c:pt>
                <c:pt idx="6">
                  <c:v>3.1865600030869246E-3</c:v>
                </c:pt>
                <c:pt idx="7">
                  <c:v>0</c:v>
                </c:pt>
                <c:pt idx="8">
                  <c:v>-7.2088000160874799E-4</c:v>
                </c:pt>
                <c:pt idx="9">
                  <c:v>4.9207999836653471E-4</c:v>
                </c:pt>
                <c:pt idx="10">
                  <c:v>-2.8800001018680632E-5</c:v>
                </c:pt>
                <c:pt idx="11">
                  <c:v>6.3008000142872334E-4</c:v>
                </c:pt>
                <c:pt idx="12">
                  <c:v>-3.3409600000595674E-3</c:v>
                </c:pt>
                <c:pt idx="13">
                  <c:v>-6.3353599543916062E-3</c:v>
                </c:pt>
                <c:pt idx="14">
                  <c:v>-6.2353601242648438E-3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46-4E8E-B25F-6C58064B174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46-4E8E-B25F-6C58064B174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46-4E8E-B25F-6C58064B174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46-4E8E-B25F-6C58064B174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-20237</c:v>
                </c:pt>
                <c:pt idx="1">
                  <c:v>-6343.5</c:v>
                </c:pt>
                <c:pt idx="2">
                  <c:v>-6301.5</c:v>
                </c:pt>
                <c:pt idx="3">
                  <c:v>-5037</c:v>
                </c:pt>
                <c:pt idx="4">
                  <c:v>-5016.5</c:v>
                </c:pt>
                <c:pt idx="5">
                  <c:v>-4820</c:v>
                </c:pt>
                <c:pt idx="6">
                  <c:v>-981</c:v>
                </c:pt>
                <c:pt idx="7">
                  <c:v>0</c:v>
                </c:pt>
                <c:pt idx="8">
                  <c:v>0.5</c:v>
                </c:pt>
                <c:pt idx="9">
                  <c:v>129.5</c:v>
                </c:pt>
                <c:pt idx="10">
                  <c:v>130</c:v>
                </c:pt>
                <c:pt idx="11">
                  <c:v>392</c:v>
                </c:pt>
                <c:pt idx="12">
                  <c:v>1421</c:v>
                </c:pt>
                <c:pt idx="13">
                  <c:v>8861</c:v>
                </c:pt>
                <c:pt idx="14">
                  <c:v>8861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0">
                  <c:v>5.334431707364016E-3</c:v>
                </c:pt>
                <c:pt idx="1">
                  <c:v>7.6591919881485336E-4</c:v>
                </c:pt>
                <c:pt idx="2">
                  <c:v>7.5210860210710769E-4</c:v>
                </c:pt>
                <c:pt idx="3">
                  <c:v>3.363109940846213E-4</c:v>
                </c:pt>
                <c:pt idx="4">
                  <c:v>3.2957010759631679E-4</c:v>
                </c:pt>
                <c:pt idx="5">
                  <c:v>2.6495624442793514E-4</c:v>
                </c:pt>
                <c:pt idx="6">
                  <c:v>-9.9739805940624862E-4</c:v>
                </c:pt>
                <c:pt idx="7">
                  <c:v>-1.3199741396514517E-3</c:v>
                </c:pt>
                <c:pt idx="8">
                  <c:v>-1.32013855151702E-3</c:v>
                </c:pt>
                <c:pt idx="9">
                  <c:v>-1.3625568128336676E-3</c:v>
                </c:pt>
                <c:pt idx="10">
                  <c:v>-1.3627212246992359E-3</c:v>
                </c:pt>
                <c:pt idx="11">
                  <c:v>-1.4488730422570781E-3</c:v>
                </c:pt>
                <c:pt idx="12">
                  <c:v>-1.7872326615968478E-3</c:v>
                </c:pt>
                <c:pt idx="13">
                  <c:v>-4.2336812212546565E-3</c:v>
                </c:pt>
                <c:pt idx="14">
                  <c:v>-4.2336812212546565E-3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46-4E8E-B25F-6C58064B1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88448"/>
        <c:axId val="1"/>
      </c:scatterChart>
      <c:valAx>
        <c:axId val="717688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88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25857353416409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F54ED30-6BBD-D1B2-0212-5FDB06E1C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27</xdr:col>
      <xdr:colOff>180975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C130A3D-686A-9A78-0C77-FA282FBD1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CEADF94-001E-6867-FB74-59D5ED212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27</xdr:col>
      <xdr:colOff>180975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C3B74458-43EA-A6B5-1432-7A21116FB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s="14" customFormat="1" ht="12.95" customHeight="1" x14ac:dyDescent="0.2">
      <c r="A2" s="14" t="s">
        <v>26</v>
      </c>
      <c r="B2" s="14" t="s">
        <v>37</v>
      </c>
      <c r="C2" s="15"/>
      <c r="D2" s="15" t="s">
        <v>38</v>
      </c>
    </row>
    <row r="3" spans="1:6" s="14" customFormat="1" ht="12.95" customHeight="1" thickBot="1" x14ac:dyDescent="0.25"/>
    <row r="4" spans="1:6" s="14" customFormat="1" ht="12.95" customHeight="1" thickTop="1" thickBot="1" x14ac:dyDescent="0.25">
      <c r="A4" s="16" t="s">
        <v>2</v>
      </c>
      <c r="C4" s="17" t="s">
        <v>39</v>
      </c>
      <c r="D4" s="18" t="s">
        <v>39</v>
      </c>
    </row>
    <row r="5" spans="1:6" s="14" customFormat="1" ht="12.95" customHeight="1" thickTop="1" x14ac:dyDescent="0.2">
      <c r="A5" s="19" t="s">
        <v>31</v>
      </c>
      <c r="C5" s="20">
        <v>-9.5</v>
      </c>
      <c r="D5" s="14" t="s">
        <v>32</v>
      </c>
    </row>
    <row r="6" spans="1:6" s="14" customFormat="1" ht="12.95" customHeight="1" x14ac:dyDescent="0.2">
      <c r="A6" s="16" t="s">
        <v>3</v>
      </c>
    </row>
    <row r="7" spans="1:6" s="14" customFormat="1" ht="12.95" customHeight="1" x14ac:dyDescent="0.2">
      <c r="A7" s="14" t="s">
        <v>4</v>
      </c>
      <c r="C7" s="14">
        <v>51521.695</v>
      </c>
    </row>
    <row r="8" spans="1:6" s="14" customFormat="1" ht="12.95" customHeight="1" x14ac:dyDescent="0.2">
      <c r="A8" s="14" t="s">
        <v>5</v>
      </c>
      <c r="C8" s="14">
        <v>0.28780899999999998</v>
      </c>
      <c r="D8" s="14" t="s">
        <v>58</v>
      </c>
    </row>
    <row r="9" spans="1:6" s="14" customFormat="1" ht="12.95" customHeight="1" x14ac:dyDescent="0.2">
      <c r="A9" s="21" t="s">
        <v>36</v>
      </c>
      <c r="B9" s="22">
        <v>22</v>
      </c>
      <c r="C9" s="23" t="str">
        <f>"F"&amp;B9</f>
        <v>F22</v>
      </c>
      <c r="D9" s="24" t="str">
        <f>"G"&amp;B9</f>
        <v>G22</v>
      </c>
    </row>
    <row r="10" spans="1:6" s="14" customFormat="1" ht="12.95" customHeight="1" thickBot="1" x14ac:dyDescent="0.25">
      <c r="C10" s="25" t="s">
        <v>22</v>
      </c>
      <c r="D10" s="25" t="s">
        <v>23</v>
      </c>
    </row>
    <row r="11" spans="1:6" s="14" customFormat="1" ht="12.95" customHeight="1" x14ac:dyDescent="0.2">
      <c r="A11" s="14" t="s">
        <v>18</v>
      </c>
      <c r="C11" s="24">
        <f ca="1">INTERCEPT(INDIRECT($D$9):G985,INDIRECT($C$9):F985)</f>
        <v>-0.1256701824435362</v>
      </c>
      <c r="D11" s="15"/>
    </row>
    <row r="12" spans="1:6" s="14" customFormat="1" ht="12.95" customHeight="1" x14ac:dyDescent="0.2">
      <c r="A12" s="14" t="s">
        <v>19</v>
      </c>
      <c r="C12" s="24">
        <f ca="1">SLOPE(INDIRECT($D$9):G985,INDIRECT($C$9):F985)</f>
        <v>1.4567529507705013E-5</v>
      </c>
      <c r="D12" s="15"/>
    </row>
    <row r="13" spans="1:6" s="14" customFormat="1" ht="12.95" customHeight="1" x14ac:dyDescent="0.2">
      <c r="A13" s="14" t="s">
        <v>21</v>
      </c>
      <c r="C13" s="15" t="s">
        <v>16</v>
      </c>
    </row>
    <row r="14" spans="1:6" s="14" customFormat="1" ht="12.95" customHeight="1" x14ac:dyDescent="0.2"/>
    <row r="15" spans="1:6" s="14" customFormat="1" ht="12.95" customHeight="1" x14ac:dyDescent="0.2">
      <c r="A15" s="26" t="s">
        <v>20</v>
      </c>
      <c r="C15" s="27">
        <f ca="1">(C7+C11)+(C8+C12)*INT(MAX(F21:F3526))</f>
        <v>59897.235144926228</v>
      </c>
      <c r="E15" s="28" t="s">
        <v>41</v>
      </c>
      <c r="F15" s="20">
        <v>1</v>
      </c>
    </row>
    <row r="16" spans="1:6" s="14" customFormat="1" ht="12.95" customHeight="1" x14ac:dyDescent="0.2">
      <c r="A16" s="16" t="s">
        <v>6</v>
      </c>
      <c r="C16" s="29">
        <f ca="1">+C8+C12</f>
        <v>0.28782356752950766</v>
      </c>
      <c r="E16" s="28" t="s">
        <v>33</v>
      </c>
      <c r="F16" s="30">
        <f ca="1">NOW()+15018.5+$C$5/24</f>
        <v>60370.753048032406</v>
      </c>
    </row>
    <row r="17" spans="1:17" s="14" customFormat="1" ht="12.95" customHeight="1" thickBot="1" x14ac:dyDescent="0.25">
      <c r="A17" s="28" t="s">
        <v>30</v>
      </c>
      <c r="C17" s="14">
        <f>COUNT(C21:C2184)</f>
        <v>14</v>
      </c>
      <c r="E17" s="28" t="s">
        <v>42</v>
      </c>
      <c r="F17" s="30">
        <f ca="1">ROUND(2*(F16-$C$7)/$C$8,0)/2+F15</f>
        <v>30747.5</v>
      </c>
    </row>
    <row r="18" spans="1:17" s="14" customFormat="1" ht="12.95" customHeight="1" thickTop="1" thickBot="1" x14ac:dyDescent="0.25">
      <c r="A18" s="16" t="s">
        <v>7</v>
      </c>
      <c r="C18" s="31">
        <f ca="1">+C15</f>
        <v>59897.235144926228</v>
      </c>
      <c r="D18" s="32">
        <f ca="1">+C16</f>
        <v>0.28782356752950766</v>
      </c>
      <c r="E18" s="28" t="s">
        <v>34</v>
      </c>
      <c r="F18" s="24">
        <f ca="1">ROUND(2*(F16-$C$15)/$C$16,0)/2+F15</f>
        <v>1646</v>
      </c>
    </row>
    <row r="19" spans="1:17" s="14" customFormat="1" ht="12.95" customHeight="1" thickTop="1" x14ac:dyDescent="0.2">
      <c r="E19" s="28" t="s">
        <v>35</v>
      </c>
      <c r="F19" s="33">
        <f ca="1">+$C$15+$C$16*F18-15018.5-$C$5/24</f>
        <v>45352.888570413132</v>
      </c>
    </row>
    <row r="20" spans="1:17" s="14" customFormat="1" ht="12.95" customHeight="1" thickBot="1" x14ac:dyDescent="0.25">
      <c r="A20" s="25" t="s">
        <v>8</v>
      </c>
      <c r="B20" s="25" t="s">
        <v>9</v>
      </c>
      <c r="C20" s="25" t="s">
        <v>10</v>
      </c>
      <c r="D20" s="25" t="s">
        <v>15</v>
      </c>
      <c r="E20" s="25" t="s">
        <v>11</v>
      </c>
      <c r="F20" s="25" t="s">
        <v>12</v>
      </c>
      <c r="G20" s="25" t="s">
        <v>13</v>
      </c>
      <c r="H20" s="34" t="s">
        <v>54</v>
      </c>
      <c r="I20" s="34" t="s">
        <v>55</v>
      </c>
      <c r="J20" s="34" t="s">
        <v>56</v>
      </c>
      <c r="K20" s="34" t="s">
        <v>57</v>
      </c>
      <c r="L20" s="34" t="s">
        <v>27</v>
      </c>
      <c r="M20" s="34" t="s">
        <v>28</v>
      </c>
      <c r="N20" s="34" t="s">
        <v>29</v>
      </c>
      <c r="O20" s="34" t="s">
        <v>25</v>
      </c>
      <c r="P20" s="35" t="s">
        <v>24</v>
      </c>
      <c r="Q20" s="25" t="s">
        <v>17</v>
      </c>
    </row>
    <row r="21" spans="1:17" s="14" customFormat="1" ht="12.95" customHeight="1" x14ac:dyDescent="0.2">
      <c r="A21" s="14" t="s">
        <v>14</v>
      </c>
      <c r="C21" s="36">
        <v>51521.695</v>
      </c>
      <c r="D21" s="36" t="s">
        <v>16</v>
      </c>
      <c r="E21" s="14">
        <f>+(C21-C$7)/C$8</f>
        <v>0</v>
      </c>
      <c r="F21" s="14">
        <f t="shared" ref="F21:F26" si="0"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-0.1256701824435362</v>
      </c>
      <c r="Q21" s="37">
        <f>+C21-15018.5</f>
        <v>36503.195</v>
      </c>
    </row>
    <row r="22" spans="1:17" s="14" customFormat="1" ht="12.95" customHeight="1" x14ac:dyDescent="0.2">
      <c r="A22" s="38" t="s">
        <v>40</v>
      </c>
      <c r="B22" s="39"/>
      <c r="C22" s="4">
        <v>55520.820500000002</v>
      </c>
      <c r="D22" s="4">
        <v>2.0000000000000001E-4</v>
      </c>
      <c r="E22" s="14">
        <f>+(C22-C$7)/C$8</f>
        <v>13895.067562167973</v>
      </c>
      <c r="F22" s="14">
        <f t="shared" si="0"/>
        <v>13895</v>
      </c>
      <c r="G22" s="14">
        <f>+C22-(C$7+F22*C$8)</f>
        <v>1.944500000536209E-2</v>
      </c>
      <c r="K22" s="14">
        <f>+G22</f>
        <v>1.944500000536209E-2</v>
      </c>
      <c r="O22" s="14">
        <f ca="1">+C$11+C$12*$F22</f>
        <v>7.6745640066024967E-2</v>
      </c>
      <c r="Q22" s="37">
        <f>+C22-15018.5</f>
        <v>40502.320500000002</v>
      </c>
    </row>
    <row r="23" spans="1:17" s="14" customFormat="1" ht="12.95" customHeight="1" x14ac:dyDescent="0.2">
      <c r="A23" s="39" t="s">
        <v>43</v>
      </c>
      <c r="B23" s="5" t="s">
        <v>44</v>
      </c>
      <c r="C23" s="4">
        <v>55532.910300000003</v>
      </c>
      <c r="D23" s="4">
        <v>4.0000000000000002E-4</v>
      </c>
      <c r="E23" s="14">
        <f>+(C23-C$7)/C$8</f>
        <v>13937.073892755277</v>
      </c>
      <c r="F23" s="14">
        <f t="shared" si="0"/>
        <v>13937</v>
      </c>
      <c r="G23" s="14">
        <f>+C23-(C$7+F23*C$8)</f>
        <v>2.126700000371784E-2</v>
      </c>
      <c r="K23" s="14">
        <f>+G23</f>
        <v>2.126700000371784E-2</v>
      </c>
      <c r="O23" s="14">
        <f ca="1">+C$11+C$12*$F23</f>
        <v>7.735747630534856E-2</v>
      </c>
      <c r="Q23" s="37">
        <f>+C23-15018.5</f>
        <v>40514.410300000003</v>
      </c>
    </row>
    <row r="24" spans="1:17" s="14" customFormat="1" ht="12.95" customHeight="1" x14ac:dyDescent="0.2">
      <c r="A24" s="4" t="s">
        <v>46</v>
      </c>
      <c r="B24" s="5" t="s">
        <v>47</v>
      </c>
      <c r="C24" s="4">
        <v>55896.882700000002</v>
      </c>
      <c r="D24" s="4">
        <v>2.9999999999999997E-4</v>
      </c>
      <c r="E24" s="14">
        <f>+(C24-C$7)/C$8</f>
        <v>15201.705645063228</v>
      </c>
      <c r="F24" s="14">
        <f t="shared" si="0"/>
        <v>15201.5</v>
      </c>
      <c r="G24" s="14">
        <f>+C24-(C$7+F24*C$8)</f>
        <v>5.9186500002397224E-2</v>
      </c>
      <c r="K24" s="14">
        <f>+G24</f>
        <v>5.9186500002397224E-2</v>
      </c>
      <c r="O24" s="14">
        <f ca="1">+C$11+C$12*$F24</f>
        <v>9.5778117367841559E-2</v>
      </c>
      <c r="Q24" s="37">
        <f>+C24-15018.5</f>
        <v>40878.382700000002</v>
      </c>
    </row>
    <row r="25" spans="1:17" s="14" customFormat="1" ht="12.95" customHeight="1" x14ac:dyDescent="0.2">
      <c r="A25" s="16" t="s">
        <v>45</v>
      </c>
      <c r="C25" s="36">
        <v>55902.785000000003</v>
      </c>
      <c r="D25" s="36">
        <v>1E-4</v>
      </c>
      <c r="E25" s="14">
        <f>+(C25-C$7)/C$8</f>
        <v>15222.213342876714</v>
      </c>
      <c r="F25" s="14">
        <f t="shared" si="0"/>
        <v>15222</v>
      </c>
      <c r="G25" s="14">
        <f>+C25-(C$7+F25*C$8)</f>
        <v>6.1402000006637536E-2</v>
      </c>
      <c r="K25" s="14">
        <f>+G25</f>
        <v>6.1402000006637536E-2</v>
      </c>
      <c r="O25" s="14">
        <f ca="1">+C$11+C$12*$F25</f>
        <v>9.6076751722749515E-2</v>
      </c>
      <c r="Q25" s="37">
        <f>+C25-15018.5</f>
        <v>40884.285000000003</v>
      </c>
    </row>
    <row r="26" spans="1:17" s="14" customFormat="1" ht="12.95" customHeight="1" x14ac:dyDescent="0.2">
      <c r="A26" s="40" t="s">
        <v>49</v>
      </c>
      <c r="B26" s="41" t="s">
        <v>44</v>
      </c>
      <c r="C26" s="40">
        <v>55959.346599999997</v>
      </c>
      <c r="D26" s="40">
        <v>2.0000000000000001E-4</v>
      </c>
      <c r="E26" s="14">
        <f t="shared" ref="E26:E32" si="1">+(C26-C$7)/C$8</f>
        <v>15418.738121462489</v>
      </c>
      <c r="F26" s="14">
        <f t="shared" si="0"/>
        <v>15418.5</v>
      </c>
      <c r="G26" s="14">
        <f t="shared" ref="G26:G32" si="2">+C26-(C$7+F26*C$8)</f>
        <v>6.8533499994373415E-2</v>
      </c>
      <c r="J26" s="14">
        <f>+G26</f>
        <v>6.8533499994373415E-2</v>
      </c>
      <c r="O26" s="14">
        <f t="shared" ref="O26:O32" ca="1" si="3">+C$11+C$12*$F26</f>
        <v>9.893927127101354E-2</v>
      </c>
      <c r="Q26" s="37">
        <f t="shared" ref="Q26:Q32" si="4">+C26-15018.5</f>
        <v>40940.846599999997</v>
      </c>
    </row>
    <row r="27" spans="1:17" s="14" customFormat="1" ht="12.95" customHeight="1" x14ac:dyDescent="0.2">
      <c r="A27" s="45" t="s">
        <v>52</v>
      </c>
      <c r="B27" s="46" t="s">
        <v>44</v>
      </c>
      <c r="C27" s="47">
        <v>57064.374620000002</v>
      </c>
      <c r="D27" s="47">
        <v>1E-4</v>
      </c>
      <c r="E27" s="14">
        <f t="shared" si="1"/>
        <v>19258.187270029786</v>
      </c>
      <c r="F27" s="48">
        <f>ROUND(2*E27,0)/2-0.5</f>
        <v>19257.5</v>
      </c>
      <c r="G27" s="14">
        <f t="shared" si="2"/>
        <v>0.19780249999894295</v>
      </c>
      <c r="K27" s="14">
        <f t="shared" ref="K27:K32" si="5">G27</f>
        <v>0.19780249999894295</v>
      </c>
      <c r="O27" s="14">
        <f t="shared" ca="1" si="3"/>
        <v>0.15486401705109307</v>
      </c>
      <c r="Q27" s="37">
        <f t="shared" si="4"/>
        <v>42045.874620000002</v>
      </c>
    </row>
    <row r="28" spans="1:17" s="14" customFormat="1" ht="12.95" customHeight="1" x14ac:dyDescent="0.2">
      <c r="A28" s="49" t="s">
        <v>50</v>
      </c>
      <c r="B28" s="50"/>
      <c r="C28" s="40">
        <v>57346.8874</v>
      </c>
      <c r="D28" s="40">
        <v>2.0000000000000001E-4</v>
      </c>
      <c r="E28" s="14">
        <f t="shared" si="1"/>
        <v>20239.785413242811</v>
      </c>
      <c r="F28" s="51">
        <f>ROUND(2*E28,0)/2-1</f>
        <v>20239</v>
      </c>
      <c r="G28" s="14">
        <f t="shared" si="2"/>
        <v>0.22604899999714689</v>
      </c>
      <c r="K28" s="14">
        <f t="shared" si="5"/>
        <v>0.22604899999714689</v>
      </c>
      <c r="O28" s="14">
        <f t="shared" ca="1" si="3"/>
        <v>0.16916204726290554</v>
      </c>
      <c r="Q28" s="37">
        <f t="shared" si="4"/>
        <v>42328.3874</v>
      </c>
    </row>
    <row r="29" spans="1:17" s="14" customFormat="1" ht="12.95" customHeight="1" x14ac:dyDescent="0.2">
      <c r="A29" s="52" t="s">
        <v>51</v>
      </c>
      <c r="B29" s="53" t="s">
        <v>47</v>
      </c>
      <c r="C29" s="52">
        <v>57384.020199999999</v>
      </c>
      <c r="D29" s="52" t="s">
        <v>53</v>
      </c>
      <c r="E29" s="14">
        <f t="shared" si="1"/>
        <v>20368.804311192493</v>
      </c>
      <c r="F29" s="51">
        <f>ROUND(2*E29,0)/2-1</f>
        <v>20368</v>
      </c>
      <c r="G29" s="14">
        <f t="shared" si="2"/>
        <v>0.23148799999762559</v>
      </c>
      <c r="K29" s="14">
        <f t="shared" si="5"/>
        <v>0.23148799999762559</v>
      </c>
      <c r="O29" s="14">
        <f t="shared" ca="1" si="3"/>
        <v>0.17104125856939953</v>
      </c>
      <c r="Q29" s="37">
        <f t="shared" si="4"/>
        <v>42365.520199999999</v>
      </c>
    </row>
    <row r="30" spans="1:17" s="14" customFormat="1" ht="12.95" customHeight="1" x14ac:dyDescent="0.2">
      <c r="A30" s="52" t="s">
        <v>51</v>
      </c>
      <c r="B30" s="53" t="s">
        <v>44</v>
      </c>
      <c r="C30" s="52">
        <v>57384.1636</v>
      </c>
      <c r="D30" s="52" t="s">
        <v>53</v>
      </c>
      <c r="E30" s="14">
        <f t="shared" si="1"/>
        <v>20369.302558293872</v>
      </c>
      <c r="F30" s="51">
        <f>ROUND(2*E30,0)/2-1</f>
        <v>20368.5</v>
      </c>
      <c r="G30" s="14">
        <f t="shared" si="2"/>
        <v>0.23098349999781931</v>
      </c>
      <c r="K30" s="14">
        <f t="shared" si="5"/>
        <v>0.23098349999781931</v>
      </c>
      <c r="O30" s="14">
        <f t="shared" ca="1" si="3"/>
        <v>0.17104854233415337</v>
      </c>
      <c r="Q30" s="37">
        <f t="shared" si="4"/>
        <v>42365.6636</v>
      </c>
    </row>
    <row r="31" spans="1:17" s="14" customFormat="1" ht="12.95" customHeight="1" x14ac:dyDescent="0.2">
      <c r="A31" s="8" t="s">
        <v>1</v>
      </c>
      <c r="B31" s="9" t="s">
        <v>44</v>
      </c>
      <c r="C31" s="8">
        <v>57459.578800000003</v>
      </c>
      <c r="D31" s="8">
        <v>1E-4</v>
      </c>
      <c r="E31" s="14">
        <f t="shared" si="1"/>
        <v>20631.334669867876</v>
      </c>
      <c r="F31" s="51">
        <f>ROUND(2*E31,0)/2-1</f>
        <v>20630.5</v>
      </c>
      <c r="G31" s="14">
        <f t="shared" si="2"/>
        <v>0.24022550000518095</v>
      </c>
      <c r="K31" s="14">
        <f t="shared" si="5"/>
        <v>0.24022550000518095</v>
      </c>
      <c r="O31" s="14">
        <f t="shared" ca="1" si="3"/>
        <v>0.17486523506517207</v>
      </c>
      <c r="Q31" s="37">
        <f t="shared" si="4"/>
        <v>42441.078800000003</v>
      </c>
    </row>
    <row r="32" spans="1:17" s="14" customFormat="1" ht="12.95" customHeight="1" x14ac:dyDescent="0.2">
      <c r="A32" s="8" t="s">
        <v>0</v>
      </c>
      <c r="B32" s="9" t="s">
        <v>44</v>
      </c>
      <c r="C32" s="8">
        <v>57755.764000000003</v>
      </c>
      <c r="D32" s="8">
        <v>1E-4</v>
      </c>
      <c r="E32" s="14">
        <f t="shared" si="1"/>
        <v>21660.437998811725</v>
      </c>
      <c r="F32" s="51">
        <f>ROUND(2*E32,0)/2-1</f>
        <v>21659.5</v>
      </c>
      <c r="G32" s="14">
        <f t="shared" si="2"/>
        <v>0.26996450000297045</v>
      </c>
      <c r="K32" s="14">
        <f t="shared" si="5"/>
        <v>0.26996450000297045</v>
      </c>
      <c r="O32" s="14">
        <f t="shared" ca="1" si="3"/>
        <v>0.18985522292860055</v>
      </c>
      <c r="Q32" s="37">
        <f t="shared" si="4"/>
        <v>42737.264000000003</v>
      </c>
    </row>
    <row r="33" spans="1:17" s="14" customFormat="1" ht="12.95" customHeight="1" x14ac:dyDescent="0.2">
      <c r="A33" s="54" t="s">
        <v>59</v>
      </c>
      <c r="B33" s="55" t="s">
        <v>44</v>
      </c>
      <c r="C33" s="13">
        <v>59897.303700000048</v>
      </c>
      <c r="D33" s="36"/>
      <c r="E33" s="14">
        <f t="shared" ref="E33:E34" si="6">+(C33-C$7)/C$8</f>
        <v>29101.274456323634</v>
      </c>
      <c r="F33" s="51">
        <f t="shared" ref="F33:F34" si="7">ROUND(2*E33,0)/2-1</f>
        <v>29100.5</v>
      </c>
      <c r="G33" s="14">
        <f t="shared" ref="G33:G34" si="8">+C33-(C$7+F33*C$8)</f>
        <v>0.22289550004643388</v>
      </c>
      <c r="K33" s="14">
        <f t="shared" ref="K33:K34" si="9">G33</f>
        <v>0.22289550004643388</v>
      </c>
      <c r="O33" s="14">
        <f t="shared" ref="O33:O34" ca="1" si="10">+C$11+C$12*$F33</f>
        <v>0.29825220999543356</v>
      </c>
      <c r="Q33" s="37">
        <f t="shared" ref="Q33:Q34" si="11">+C33-15018.5</f>
        <v>44878.803700000048</v>
      </c>
    </row>
    <row r="34" spans="1:17" s="14" customFormat="1" ht="12.95" customHeight="1" x14ac:dyDescent="0.2">
      <c r="A34" s="54" t="s">
        <v>59</v>
      </c>
      <c r="B34" s="55" t="s">
        <v>44</v>
      </c>
      <c r="C34" s="13">
        <v>59897.303799999878</v>
      </c>
      <c r="D34" s="36"/>
      <c r="E34" s="14">
        <f t="shared" si="6"/>
        <v>29101.274803775694</v>
      </c>
      <c r="F34" s="51">
        <f t="shared" si="7"/>
        <v>29100.5</v>
      </c>
      <c r="G34" s="14">
        <f t="shared" si="8"/>
        <v>0.22299549987656064</v>
      </c>
      <c r="K34" s="14">
        <f t="shared" si="9"/>
        <v>0.22299549987656064</v>
      </c>
      <c r="O34" s="14">
        <f t="shared" ca="1" si="10"/>
        <v>0.29825220999543356</v>
      </c>
      <c r="Q34" s="37">
        <f t="shared" si="11"/>
        <v>44878.803799999878</v>
      </c>
    </row>
    <row r="35" spans="1:17" s="14" customFormat="1" ht="12.95" customHeight="1" x14ac:dyDescent="0.2">
      <c r="C35" s="36"/>
      <c r="D35" s="36"/>
    </row>
    <row r="36" spans="1:17" s="14" customFormat="1" ht="12.95" customHeight="1" x14ac:dyDescent="0.2">
      <c r="C36" s="36"/>
      <c r="D36" s="36"/>
    </row>
    <row r="37" spans="1:17" s="14" customFormat="1" ht="12.95" customHeight="1" x14ac:dyDescent="0.2">
      <c r="C37" s="36"/>
      <c r="D37" s="36"/>
    </row>
    <row r="38" spans="1:17" s="14" customFormat="1" ht="12.95" customHeight="1" x14ac:dyDescent="0.2">
      <c r="C38" s="36"/>
      <c r="D38" s="36"/>
    </row>
    <row r="39" spans="1:17" s="14" customFormat="1" ht="12.95" customHeight="1" x14ac:dyDescent="0.2">
      <c r="C39" s="36"/>
      <c r="D39" s="36"/>
    </row>
    <row r="40" spans="1:17" s="14" customFormat="1" ht="12.95" customHeight="1" x14ac:dyDescent="0.2">
      <c r="C40" s="36"/>
      <c r="D40" s="36"/>
    </row>
    <row r="41" spans="1:17" s="14" customFormat="1" ht="12.95" customHeight="1" x14ac:dyDescent="0.2">
      <c r="C41" s="36"/>
      <c r="D41" s="36"/>
    </row>
    <row r="42" spans="1:17" s="14" customFormat="1" ht="12.95" customHeight="1" x14ac:dyDescent="0.2">
      <c r="C42" s="36"/>
      <c r="D42" s="36"/>
    </row>
    <row r="43" spans="1:17" s="14" customFormat="1" ht="12.95" customHeight="1" x14ac:dyDescent="0.2">
      <c r="C43" s="36"/>
      <c r="D43" s="36"/>
    </row>
    <row r="44" spans="1:17" s="14" customFormat="1" ht="12.95" customHeight="1" x14ac:dyDescent="0.2">
      <c r="C44" s="36"/>
      <c r="D44" s="36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</sheetData>
  <phoneticPr fontId="8" type="noConversion"/>
  <hyperlinks>
    <hyperlink ref="H63575" r:id="rId1" display="http://vsolj.cetus-net.org/bulletin.html" xr:uid="{00000000-0004-0000-0000-000000000000}"/>
    <hyperlink ref="H63568" r:id="rId2" display="https://www.aavso.org/ejaavso" xr:uid="{00000000-0004-0000-0000-000001000000}"/>
    <hyperlink ref="AP434" r:id="rId3" display="http://cdsbib.u-strasbg.fr/cgi-bin/cdsbib?1990RMxAA..21..381G" xr:uid="{00000000-0004-0000-0000-000002000000}"/>
    <hyperlink ref="AP431" r:id="rId4" display="http://cdsbib.u-strasbg.fr/cgi-bin/cdsbib?1990RMxAA..21..381G" xr:uid="{00000000-0004-0000-0000-000003000000}"/>
    <hyperlink ref="AP433" r:id="rId5" display="http://cdsbib.u-strasbg.fr/cgi-bin/cdsbib?1990RMxAA..21..381G" xr:uid="{00000000-0004-0000-0000-000004000000}"/>
    <hyperlink ref="AP409" r:id="rId6" display="http://cdsbib.u-strasbg.fr/cgi-bin/cdsbib?1990RMxAA..21..381G" xr:uid="{00000000-0004-0000-0000-000005000000}"/>
    <hyperlink ref="I63575" r:id="rId7" display="http://vsolj.cetus-net.org/bulletin.html" xr:uid="{00000000-0004-0000-0000-000006000000}"/>
    <hyperlink ref="AQ570" r:id="rId8" display="http://cdsbib.u-strasbg.fr/cgi-bin/cdsbib?1990RMxAA..21..381G" xr:uid="{00000000-0004-0000-0000-000007000000}"/>
    <hyperlink ref="AQ2214" r:id="rId9" display="http://cdsbib.u-strasbg.fr/cgi-bin/cdsbib?1990RMxAA..21..381G" xr:uid="{00000000-0004-0000-0000-000008000000}"/>
    <hyperlink ref="AQ571" r:id="rId10" display="http://cdsbib.u-strasbg.fr/cgi-bin/cdsbib?1990RMxAA..21..381G" xr:uid="{00000000-0004-0000-0000-000009000000}"/>
    <hyperlink ref="H63572" r:id="rId11" display="https://www.aavso.org/ejaavso" xr:uid="{00000000-0004-0000-0000-00000A000000}"/>
    <hyperlink ref="H1421" r:id="rId12" display="http://vsolj.cetus-net.org/bulletin.html" xr:uid="{00000000-0004-0000-0000-00000B000000}"/>
    <hyperlink ref="AP4659" r:id="rId13" display="http://cdsbib.u-strasbg.fr/cgi-bin/cdsbib?1990RMxAA..21..381G" xr:uid="{00000000-0004-0000-0000-00000C000000}"/>
    <hyperlink ref="AP4662" r:id="rId14" display="http://cdsbib.u-strasbg.fr/cgi-bin/cdsbib?1990RMxAA..21..381G" xr:uid="{00000000-0004-0000-0000-00000D000000}"/>
    <hyperlink ref="AP4660" r:id="rId15" display="http://cdsbib.u-strasbg.fr/cgi-bin/cdsbib?1990RMxAA..21..381G" xr:uid="{00000000-0004-0000-0000-00000E000000}"/>
    <hyperlink ref="AP4638" r:id="rId16" display="http://cdsbib.u-strasbg.fr/cgi-bin/cdsbib?1990RMxAA..21..381G" xr:uid="{00000000-0004-0000-0000-00000F000000}"/>
    <hyperlink ref="I1421" r:id="rId17" display="http://vsolj.cetus-net.org/bulletin.html" xr:uid="{00000000-0004-0000-0000-000010000000}"/>
    <hyperlink ref="AQ4772" r:id="rId18" display="http://cdsbib.u-strasbg.fr/cgi-bin/cdsbib?1990RMxAA..21..381G" xr:uid="{00000000-0004-0000-0000-000011000000}"/>
    <hyperlink ref="AQ64852" r:id="rId19" display="http://cdsbib.u-strasbg.fr/cgi-bin/cdsbib?1990RMxAA..21..381G" xr:uid="{00000000-0004-0000-0000-000012000000}"/>
    <hyperlink ref="AQ477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34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6384" width="10.28515625" style="14"/>
  </cols>
  <sheetData>
    <row r="1" spans="1:6" ht="20.25" x14ac:dyDescent="0.3">
      <c r="A1" s="1" t="s">
        <v>48</v>
      </c>
    </row>
    <row r="2" spans="1:6" s="14" customFormat="1" ht="12.95" customHeight="1" x14ac:dyDescent="0.2">
      <c r="A2" s="14" t="s">
        <v>26</v>
      </c>
      <c r="B2" s="14" t="s">
        <v>37</v>
      </c>
      <c r="C2" s="15"/>
      <c r="D2" s="15" t="s">
        <v>38</v>
      </c>
    </row>
    <row r="3" spans="1:6" s="14" customFormat="1" ht="12.95" customHeight="1" thickBot="1" x14ac:dyDescent="0.25"/>
    <row r="4" spans="1:6" s="14" customFormat="1" ht="12.95" customHeight="1" thickTop="1" thickBot="1" x14ac:dyDescent="0.25">
      <c r="A4" s="16" t="s">
        <v>2</v>
      </c>
      <c r="C4" s="17" t="s">
        <v>39</v>
      </c>
      <c r="D4" s="18" t="s">
        <v>39</v>
      </c>
    </row>
    <row r="5" spans="1:6" s="14" customFormat="1" ht="12.95" customHeight="1" thickTop="1" x14ac:dyDescent="0.2">
      <c r="A5" s="19" t="s">
        <v>31</v>
      </c>
      <c r="C5" s="20">
        <v>-9.5</v>
      </c>
      <c r="D5" s="14" t="s">
        <v>32</v>
      </c>
    </row>
    <row r="6" spans="1:6" s="14" customFormat="1" ht="12.95" customHeight="1" x14ac:dyDescent="0.2">
      <c r="A6" s="16" t="s">
        <v>3</v>
      </c>
    </row>
    <row r="7" spans="1:6" s="14" customFormat="1" ht="12.95" customHeight="1" x14ac:dyDescent="0.2">
      <c r="A7" s="14" t="s">
        <v>4</v>
      </c>
      <c r="C7" s="14">
        <v>57346.744200000001</v>
      </c>
      <c r="D7" s="56" t="s">
        <v>60</v>
      </c>
    </row>
    <row r="8" spans="1:6" s="14" customFormat="1" ht="12.95" customHeight="1" x14ac:dyDescent="0.2">
      <c r="A8" s="14" t="s">
        <v>5</v>
      </c>
      <c r="C8" s="14">
        <v>0.28784176</v>
      </c>
      <c r="D8" s="56" t="s">
        <v>60</v>
      </c>
    </row>
    <row r="9" spans="1:6" s="14" customFormat="1" ht="12.95" customHeight="1" x14ac:dyDescent="0.2">
      <c r="A9" s="21" t="s">
        <v>36</v>
      </c>
      <c r="B9" s="22">
        <v>21</v>
      </c>
      <c r="C9" s="23" t="str">
        <f>"F"&amp;B9</f>
        <v>F21</v>
      </c>
      <c r="D9" s="24" t="str">
        <f>"G"&amp;B9</f>
        <v>G21</v>
      </c>
    </row>
    <row r="10" spans="1:6" s="14" customFormat="1" ht="12.95" customHeight="1" thickBot="1" x14ac:dyDescent="0.25">
      <c r="C10" s="25" t="s">
        <v>22</v>
      </c>
      <c r="D10" s="25" t="s">
        <v>23</v>
      </c>
    </row>
    <row r="11" spans="1:6" s="14" customFormat="1" ht="12.95" customHeight="1" x14ac:dyDescent="0.2">
      <c r="A11" s="14" t="s">
        <v>18</v>
      </c>
      <c r="C11" s="24">
        <f ca="1">INTERCEPT(INDIRECT($D$9):G986,INDIRECT($C$9):F986)</f>
        <v>-1.3199741396514517E-3</v>
      </c>
      <c r="D11" s="15"/>
    </row>
    <row r="12" spans="1:6" s="14" customFormat="1" ht="12.95" customHeight="1" x14ac:dyDescent="0.2">
      <c r="A12" s="14" t="s">
        <v>19</v>
      </c>
      <c r="C12" s="24">
        <f ca="1">SLOPE(INDIRECT($D$9):G986,INDIRECT($C$9):F986)</f>
        <v>-3.2882373113680226E-7</v>
      </c>
      <c r="D12" s="15"/>
    </row>
    <row r="13" spans="1:6" s="14" customFormat="1" ht="12.95" customHeight="1" x14ac:dyDescent="0.2">
      <c r="A13" s="14" t="s">
        <v>21</v>
      </c>
      <c r="C13" s="15" t="s">
        <v>16</v>
      </c>
    </row>
    <row r="14" spans="1:6" s="14" customFormat="1" ht="12.95" customHeight="1" x14ac:dyDescent="0.2"/>
    <row r="15" spans="1:6" s="14" customFormat="1" ht="12.95" customHeight="1" x14ac:dyDescent="0.2">
      <c r="A15" s="26" t="s">
        <v>20</v>
      </c>
      <c r="C15" s="27">
        <f ca="1">(C7+C11)+(C8+C12)*INT(MAX(F21:F3527))</f>
        <v>59897.305801678784</v>
      </c>
      <c r="E15" s="28" t="s">
        <v>41</v>
      </c>
      <c r="F15" s="20">
        <v>1</v>
      </c>
    </row>
    <row r="16" spans="1:6" s="14" customFormat="1" ht="12.95" customHeight="1" x14ac:dyDescent="0.2">
      <c r="A16" s="16" t="s">
        <v>6</v>
      </c>
      <c r="C16" s="29">
        <f ca="1">+C8+C12</f>
        <v>0.28784143117626887</v>
      </c>
      <c r="E16" s="28" t="s">
        <v>33</v>
      </c>
      <c r="F16" s="30">
        <f ca="1">NOW()+15018.5+$C$5/24</f>
        <v>60370.753048032406</v>
      </c>
    </row>
    <row r="17" spans="1:17" ht="12.95" customHeight="1" thickBot="1" x14ac:dyDescent="0.25">
      <c r="A17" s="28" t="s">
        <v>30</v>
      </c>
      <c r="B17" s="14"/>
      <c r="C17" s="14">
        <f>COUNT(C21:C2185)</f>
        <v>15</v>
      </c>
      <c r="D17" s="14"/>
      <c r="E17" s="28" t="s">
        <v>42</v>
      </c>
      <c r="F17" s="30">
        <f ca="1">ROUND(2*(F16-$C$7)/$C$8,0)/2+F15</f>
        <v>10507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12.95" customHeight="1" thickTop="1" thickBot="1" x14ac:dyDescent="0.25">
      <c r="A18" s="16" t="s">
        <v>7</v>
      </c>
      <c r="B18" s="14"/>
      <c r="C18" s="31">
        <f ca="1">+C15</f>
        <v>59897.305801678784</v>
      </c>
      <c r="D18" s="32">
        <f ca="1">+C16</f>
        <v>0.28784143117626887</v>
      </c>
      <c r="E18" s="28" t="s">
        <v>34</v>
      </c>
      <c r="F18" s="24">
        <f ca="1">ROUND(2*(F16-$C$15)/$C$16,0)/2+F15</f>
        <v>1646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12.95" customHeight="1" thickTop="1" x14ac:dyDescent="0.2">
      <c r="A19" s="14"/>
      <c r="B19" s="14"/>
      <c r="C19" s="14"/>
      <c r="D19" s="14"/>
      <c r="E19" s="28" t="s">
        <v>35</v>
      </c>
      <c r="F19" s="33">
        <f ca="1">+$C$15+$C$16*F18-15018.5-$C$5/24</f>
        <v>45352.988630728258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2.95" customHeight="1" thickBot="1" x14ac:dyDescent="0.25">
      <c r="A20" s="25" t="s">
        <v>8</v>
      </c>
      <c r="B20" s="25" t="s">
        <v>9</v>
      </c>
      <c r="C20" s="25" t="s">
        <v>10</v>
      </c>
      <c r="D20" s="25" t="s">
        <v>15</v>
      </c>
      <c r="E20" s="25" t="s">
        <v>11</v>
      </c>
      <c r="F20" s="25" t="s">
        <v>12</v>
      </c>
      <c r="G20" s="25" t="s">
        <v>13</v>
      </c>
      <c r="H20" s="34" t="s">
        <v>54</v>
      </c>
      <c r="I20" s="34" t="s">
        <v>55</v>
      </c>
      <c r="J20" s="34" t="s">
        <v>56</v>
      </c>
      <c r="K20" s="34" t="s">
        <v>57</v>
      </c>
      <c r="L20" s="34" t="s">
        <v>27</v>
      </c>
      <c r="M20" s="34" t="s">
        <v>28</v>
      </c>
      <c r="N20" s="34" t="s">
        <v>29</v>
      </c>
      <c r="O20" s="34" t="s">
        <v>25</v>
      </c>
      <c r="P20" s="35" t="s">
        <v>24</v>
      </c>
      <c r="Q20" s="25" t="s">
        <v>17</v>
      </c>
    </row>
    <row r="21" spans="1:17" ht="12.95" customHeight="1" x14ac:dyDescent="0.2">
      <c r="A21" s="14" t="s">
        <v>14</v>
      </c>
      <c r="B21" s="14"/>
      <c r="C21" s="36">
        <v>51521.695</v>
      </c>
      <c r="D21" s="36" t="s">
        <v>16</v>
      </c>
      <c r="E21" s="14">
        <f>+(C21-C$7)/C$8</f>
        <v>-20236.984376415712</v>
      </c>
      <c r="F21" s="14">
        <f>ROUND(2*E21,0)/2</f>
        <v>-20237</v>
      </c>
      <c r="G21" s="14">
        <f>+C21-(C$7+F21*C$8)</f>
        <v>4.4971199968131259E-3</v>
      </c>
      <c r="H21" s="14"/>
      <c r="I21" s="14">
        <f>+G21</f>
        <v>4.4971199968131259E-3</v>
      </c>
      <c r="J21" s="14"/>
      <c r="K21" s="14"/>
      <c r="L21" s="14"/>
      <c r="M21" s="14"/>
      <c r="N21" s="14"/>
      <c r="O21" s="14">
        <f ca="1">+C$11+C$12*$F21</f>
        <v>5.334431707364016E-3</v>
      </c>
      <c r="P21" s="14"/>
      <c r="Q21" s="37">
        <f>+C21-15018.5</f>
        <v>36503.195</v>
      </c>
    </row>
    <row r="22" spans="1:17" ht="12.95" customHeight="1" x14ac:dyDescent="0.2">
      <c r="A22" s="38" t="s">
        <v>40</v>
      </c>
      <c r="B22" s="39"/>
      <c r="C22" s="4">
        <v>55520.820500000002</v>
      </c>
      <c r="D22" s="4">
        <v>2.0000000000000001E-4</v>
      </c>
      <c r="E22" s="14">
        <f>+(C22-C$7)/C$8</f>
        <v>-6343.4982470924278</v>
      </c>
      <c r="F22" s="14">
        <f>ROUND(2*E22,0)/2</f>
        <v>-6343.5</v>
      </c>
      <c r="G22" s="14">
        <f>+C22-(C$7+F22*C$8)</f>
        <v>5.0455999735277146E-4</v>
      </c>
      <c r="H22" s="14"/>
      <c r="I22" s="14"/>
      <c r="J22" s="14"/>
      <c r="K22" s="14">
        <f>+G22</f>
        <v>5.0455999735277146E-4</v>
      </c>
      <c r="L22" s="14"/>
      <c r="M22" s="14"/>
      <c r="N22" s="14"/>
      <c r="O22" s="14">
        <f ca="1">+C$11+C$12*$F22</f>
        <v>7.6591919881485336E-4</v>
      </c>
      <c r="P22" s="14"/>
      <c r="Q22" s="37">
        <f>+C22-15018.5</f>
        <v>40502.320500000002</v>
      </c>
    </row>
    <row r="23" spans="1:17" ht="12.95" customHeight="1" x14ac:dyDescent="0.2">
      <c r="A23" s="39" t="s">
        <v>43</v>
      </c>
      <c r="B23" s="5" t="s">
        <v>44</v>
      </c>
      <c r="C23" s="4">
        <v>55532.910300000003</v>
      </c>
      <c r="D23" s="4">
        <v>4.0000000000000002E-4</v>
      </c>
      <c r="E23" s="14">
        <f>+(C23-C$7)/C$8</f>
        <v>-6301.4966973520377</v>
      </c>
      <c r="F23" s="14">
        <f>ROUND(2*E23,0)/2</f>
        <v>-6301.5</v>
      </c>
      <c r="G23" s="14">
        <f>+C23-(C$7+F23*C$8)</f>
        <v>9.5064000197453424E-4</v>
      </c>
      <c r="H23" s="14"/>
      <c r="I23" s="14"/>
      <c r="J23" s="14"/>
      <c r="K23" s="14">
        <f>+G23</f>
        <v>9.5064000197453424E-4</v>
      </c>
      <c r="L23" s="14"/>
      <c r="M23" s="14"/>
      <c r="N23" s="14"/>
      <c r="O23" s="14">
        <f ca="1">+C$11+C$12*$F23</f>
        <v>7.5210860210710769E-4</v>
      </c>
      <c r="P23" s="14"/>
      <c r="Q23" s="37">
        <f>+C23-15018.5</f>
        <v>40514.410300000003</v>
      </c>
    </row>
    <row r="24" spans="1:17" ht="12.95" customHeight="1" x14ac:dyDescent="0.2">
      <c r="A24" s="4" t="s">
        <v>46</v>
      </c>
      <c r="B24" s="5" t="s">
        <v>47</v>
      </c>
      <c r="C24" s="4">
        <v>55896.882700000002</v>
      </c>
      <c r="D24" s="4">
        <v>2.9999999999999997E-4</v>
      </c>
      <c r="E24" s="14">
        <f>+(C24-C$7)/C$8</f>
        <v>-5037.00887598797</v>
      </c>
      <c r="F24" s="14">
        <f>ROUND(2*E24,0)/2</f>
        <v>-5037</v>
      </c>
      <c r="G24" s="14">
        <f>+C24-(C$7+F24*C$8)</f>
        <v>-2.5548799967509694E-3</v>
      </c>
      <c r="H24" s="14"/>
      <c r="I24" s="14"/>
      <c r="J24" s="14"/>
      <c r="K24" s="14">
        <f>+G24</f>
        <v>-2.5548799967509694E-3</v>
      </c>
      <c r="L24" s="14"/>
      <c r="M24" s="14"/>
      <c r="N24" s="14"/>
      <c r="O24" s="14">
        <f ca="1">+C$11+C$12*$F24</f>
        <v>3.363109940846213E-4</v>
      </c>
      <c r="P24" s="14"/>
      <c r="Q24" s="37">
        <f>+C24-15018.5</f>
        <v>40878.382700000002</v>
      </c>
    </row>
    <row r="25" spans="1:17" ht="12.95" customHeight="1" x14ac:dyDescent="0.2">
      <c r="A25" s="16" t="s">
        <v>45</v>
      </c>
      <c r="B25" s="14"/>
      <c r="C25" s="36">
        <v>55902.785000000003</v>
      </c>
      <c r="D25" s="36">
        <v>1E-4</v>
      </c>
      <c r="E25" s="14">
        <f>+(C25-C$7)/C$8</f>
        <v>-5016.5035122075324</v>
      </c>
      <c r="F25" s="14">
        <f>ROUND(2*E25,0)/2</f>
        <v>-5016.5</v>
      </c>
      <c r="G25" s="14">
        <f>+C25-(C$7+F25*C$8)</f>
        <v>-1.0109599970746785E-3</v>
      </c>
      <c r="H25" s="14"/>
      <c r="I25" s="14"/>
      <c r="J25" s="14"/>
      <c r="K25" s="14">
        <f>+G25</f>
        <v>-1.0109599970746785E-3</v>
      </c>
      <c r="L25" s="14"/>
      <c r="M25" s="14"/>
      <c r="N25" s="14"/>
      <c r="O25" s="14">
        <f ca="1">+C$11+C$12*$F25</f>
        <v>3.2957010759631679E-4</v>
      </c>
      <c r="P25" s="14"/>
      <c r="Q25" s="37">
        <f>+C25-15018.5</f>
        <v>40884.285000000003</v>
      </c>
    </row>
    <row r="26" spans="1:17" ht="12.95" customHeight="1" x14ac:dyDescent="0.2">
      <c r="A26" s="40" t="s">
        <v>49</v>
      </c>
      <c r="B26" s="41" t="s">
        <v>44</v>
      </c>
      <c r="C26" s="40">
        <v>55959.346599999997</v>
      </c>
      <c r="D26" s="40">
        <v>2.0000000000000001E-4</v>
      </c>
      <c r="E26" s="14">
        <f>+(C26-C$7)/C$8</f>
        <v>-4820.0011006047343</v>
      </c>
      <c r="F26" s="14">
        <f>ROUND(2*E26,0)/2</f>
        <v>-4820</v>
      </c>
      <c r="G26" s="14">
        <f>+C26-(C$7+F26*C$8)</f>
        <v>-3.1680000392952934E-4</v>
      </c>
      <c r="H26" s="14"/>
      <c r="I26" s="14"/>
      <c r="J26" s="14">
        <f>+G26</f>
        <v>-3.1680000392952934E-4</v>
      </c>
      <c r="K26" s="14"/>
      <c r="L26" s="14"/>
      <c r="M26" s="14"/>
      <c r="N26" s="14"/>
      <c r="O26" s="14">
        <f ca="1">+C$11+C$12*$F26</f>
        <v>2.6495624442793514E-4</v>
      </c>
      <c r="P26" s="14"/>
      <c r="Q26" s="37">
        <f>+C26-15018.5</f>
        <v>40940.846599999997</v>
      </c>
    </row>
    <row r="27" spans="1:17" ht="12.95" customHeight="1" x14ac:dyDescent="0.2">
      <c r="A27" s="42" t="s">
        <v>52</v>
      </c>
      <c r="B27" s="43" t="s">
        <v>44</v>
      </c>
      <c r="C27" s="44">
        <v>57064.374620000002</v>
      </c>
      <c r="D27" s="44">
        <v>1E-4</v>
      </c>
      <c r="E27" s="14">
        <f>+(C27-C$7)/C$8</f>
        <v>-980.98892947291131</v>
      </c>
      <c r="F27" s="14">
        <f>ROUND(2*E27,0)/2</f>
        <v>-981</v>
      </c>
      <c r="G27" s="14">
        <f>+C27-(C$7+F27*C$8)</f>
        <v>3.1865600030869246E-3</v>
      </c>
      <c r="H27" s="14"/>
      <c r="I27" s="14"/>
      <c r="J27" s="14"/>
      <c r="K27" s="14">
        <f>+G27</f>
        <v>3.1865600030869246E-3</v>
      </c>
      <c r="L27" s="14"/>
      <c r="M27" s="14"/>
      <c r="N27" s="14"/>
      <c r="O27" s="14">
        <f ca="1">+C$11+C$12*$F27</f>
        <v>-9.9739805940624862E-4</v>
      </c>
      <c r="P27" s="14"/>
      <c r="Q27" s="37">
        <f>+C27-15018.5</f>
        <v>42045.874620000002</v>
      </c>
    </row>
    <row r="28" spans="1:17" ht="12.95" customHeight="1" x14ac:dyDescent="0.2">
      <c r="A28" t="str">
        <f>$D$7</f>
        <v>VSX</v>
      </c>
      <c r="C28" s="3">
        <f>$C$7</f>
        <v>57346.744200000001</v>
      </c>
      <c r="D28" s="3"/>
      <c r="E28">
        <f>+(C28-C$7)/C$8</f>
        <v>0</v>
      </c>
      <c r="F28">
        <f>ROUND(2*E28,0)/2</f>
        <v>0</v>
      </c>
      <c r="G28">
        <f>+C28-(C$7+F28*C$8)</f>
        <v>0</v>
      </c>
      <c r="K28">
        <f>+G28</f>
        <v>0</v>
      </c>
      <c r="O28">
        <f ca="1">+C$11+C$12*$F28</f>
        <v>-1.3199741396514517E-3</v>
      </c>
      <c r="Q28" s="2">
        <f>+C28-15018.5</f>
        <v>42328.244200000001</v>
      </c>
    </row>
    <row r="29" spans="1:17" ht="12.95" customHeight="1" x14ac:dyDescent="0.2">
      <c r="A29" s="16" t="s">
        <v>50</v>
      </c>
      <c r="B29" s="14"/>
      <c r="C29" s="36">
        <v>57346.8874</v>
      </c>
      <c r="D29" s="36">
        <v>2.0000000000000001E-4</v>
      </c>
      <c r="E29" s="14">
        <f>+(C29-C$7)/C$8</f>
        <v>0.49749556839360159</v>
      </c>
      <c r="F29" s="14">
        <f>ROUND(2*E29,0)/2</f>
        <v>0.5</v>
      </c>
      <c r="G29" s="14">
        <f>+C29-(C$7+F29*C$8)</f>
        <v>-7.2088000160874799E-4</v>
      </c>
      <c r="H29" s="14"/>
      <c r="I29" s="14"/>
      <c r="J29" s="14"/>
      <c r="K29" s="14">
        <f>+G29</f>
        <v>-7.2088000160874799E-4</v>
      </c>
      <c r="L29" s="14"/>
      <c r="M29" s="14"/>
      <c r="N29" s="14"/>
      <c r="O29" s="14">
        <f ca="1">+C$11+C$12*$F29</f>
        <v>-1.32013855151702E-3</v>
      </c>
      <c r="P29" s="14"/>
      <c r="Q29" s="37">
        <f>+C29-15018.5</f>
        <v>42328.3874</v>
      </c>
    </row>
    <row r="30" spans="1:17" ht="12.95" customHeight="1" x14ac:dyDescent="0.2">
      <c r="A30" s="6" t="s">
        <v>51</v>
      </c>
      <c r="B30" s="7" t="s">
        <v>47</v>
      </c>
      <c r="C30" s="6">
        <v>57384.020199999999</v>
      </c>
      <c r="D30" s="6" t="s">
        <v>53</v>
      </c>
      <c r="E30">
        <f>+(C30-C$7)/C$8</f>
        <v>129.50170955040721</v>
      </c>
      <c r="F30">
        <f>ROUND(2*E30,0)/2</f>
        <v>129.5</v>
      </c>
      <c r="G30">
        <f>+C30-(C$7+F30*C$8)</f>
        <v>4.9207999836653471E-4</v>
      </c>
      <c r="K30">
        <f>+G30</f>
        <v>4.9207999836653471E-4</v>
      </c>
      <c r="O30">
        <f ca="1">+C$11+C$12*$F30</f>
        <v>-1.3625568128336676E-3</v>
      </c>
      <c r="Q30" s="2">
        <f>+C30-15018.5</f>
        <v>42365.520199999999</v>
      </c>
    </row>
    <row r="31" spans="1:17" ht="12.95" customHeight="1" x14ac:dyDescent="0.2">
      <c r="A31" s="6" t="s">
        <v>51</v>
      </c>
      <c r="B31" s="7" t="s">
        <v>44</v>
      </c>
      <c r="C31" s="6">
        <v>57384.1636</v>
      </c>
      <c r="D31" s="6" t="s">
        <v>53</v>
      </c>
      <c r="E31">
        <f>+(C31-C$7)/C$8</f>
        <v>129.99989994502138</v>
      </c>
      <c r="F31">
        <f>ROUND(2*E31,0)/2</f>
        <v>130</v>
      </c>
      <c r="G31">
        <f>+C31-(C$7+F31*C$8)</f>
        <v>-2.8800001018680632E-5</v>
      </c>
      <c r="K31">
        <f>+G31</f>
        <v>-2.8800001018680632E-5</v>
      </c>
      <c r="O31">
        <f ca="1">+C$11+C$12*$F31</f>
        <v>-1.3627212246992359E-3</v>
      </c>
      <c r="Q31" s="2">
        <f>+C31-15018.5</f>
        <v>42365.6636</v>
      </c>
    </row>
    <row r="32" spans="1:17" ht="12.95" customHeight="1" x14ac:dyDescent="0.2">
      <c r="A32" s="8" t="s">
        <v>1</v>
      </c>
      <c r="B32" s="9" t="s">
        <v>44</v>
      </c>
      <c r="C32" s="10">
        <v>57459.578800000003</v>
      </c>
      <c r="D32" s="10">
        <v>1E-4</v>
      </c>
      <c r="E32">
        <f>+(C32-C$7)/C$8</f>
        <v>392.00218898050775</v>
      </c>
      <c r="F32">
        <f>ROUND(2*E32,0)/2</f>
        <v>392</v>
      </c>
      <c r="G32">
        <f>+C32-(C$7+F32*C$8)</f>
        <v>6.3008000142872334E-4</v>
      </c>
      <c r="K32">
        <f>+G32</f>
        <v>6.3008000142872334E-4</v>
      </c>
      <c r="O32">
        <f ca="1">+C$11+C$12*$F32</f>
        <v>-1.4488730422570781E-3</v>
      </c>
      <c r="Q32" s="2">
        <f>+C32-15018.5</f>
        <v>42441.078800000003</v>
      </c>
    </row>
    <row r="33" spans="1:17" ht="12.95" customHeight="1" x14ac:dyDescent="0.2">
      <c r="A33" s="8" t="s">
        <v>0</v>
      </c>
      <c r="B33" s="9" t="s">
        <v>44</v>
      </c>
      <c r="C33" s="10">
        <v>57755.764000000003</v>
      </c>
      <c r="D33" s="10">
        <v>1E-4</v>
      </c>
      <c r="E33">
        <f>+(C33-C$7)/C$8</f>
        <v>1420.988393067086</v>
      </c>
      <c r="F33">
        <f>ROUND(2*E33,0)/2</f>
        <v>1421</v>
      </c>
      <c r="G33">
        <f>+C33-(C$7+F33*C$8)</f>
        <v>-3.3409600000595674E-3</v>
      </c>
      <c r="K33">
        <f>+G33</f>
        <v>-3.3409600000595674E-3</v>
      </c>
      <c r="O33">
        <f ca="1">+C$11+C$12*$F33</f>
        <v>-1.7872326615968478E-3</v>
      </c>
      <c r="Q33" s="2">
        <f>+C33-15018.5</f>
        <v>42737.264000000003</v>
      </c>
    </row>
    <row r="34" spans="1:17" ht="12.95" customHeight="1" x14ac:dyDescent="0.2">
      <c r="A34" s="11" t="s">
        <v>59</v>
      </c>
      <c r="B34" s="12" t="s">
        <v>44</v>
      </c>
      <c r="C34" s="13">
        <v>59897.303700000048</v>
      </c>
      <c r="D34" s="3"/>
      <c r="E34">
        <f>+(C34-C$7)/C$8</f>
        <v>8860.9779901291822</v>
      </c>
      <c r="F34">
        <f>ROUND(2*E34,0)/2</f>
        <v>8861</v>
      </c>
      <c r="G34">
        <f>+C34-(C$7+F34*C$8)</f>
        <v>-6.3353599543916062E-3</v>
      </c>
      <c r="K34">
        <f>+G34</f>
        <v>-6.3353599543916062E-3</v>
      </c>
      <c r="O34">
        <f ca="1">+C$11+C$12*$F34</f>
        <v>-4.2336812212546565E-3</v>
      </c>
      <c r="Q34" s="2">
        <f>+C34-15018.5</f>
        <v>44878.803700000048</v>
      </c>
    </row>
    <row r="35" spans="1:17" ht="12.95" customHeight="1" x14ac:dyDescent="0.2">
      <c r="A35" s="11" t="s">
        <v>59</v>
      </c>
      <c r="B35" s="12" t="s">
        <v>44</v>
      </c>
      <c r="C35" s="13">
        <v>59897.303799999878</v>
      </c>
      <c r="D35" s="3"/>
      <c r="E35">
        <f>+(C35-C$7)/C$8</f>
        <v>8860.9783375416991</v>
      </c>
      <c r="F35">
        <f>ROUND(2*E35,0)/2</f>
        <v>8861</v>
      </c>
      <c r="G35">
        <f>+C35-(C$7+F35*C$8)</f>
        <v>-6.2353601242648438E-3</v>
      </c>
      <c r="K35">
        <f>+G35</f>
        <v>-6.2353601242648438E-3</v>
      </c>
      <c r="O35">
        <f ca="1">+C$11+C$12*$F35</f>
        <v>-4.2336812212546565E-3</v>
      </c>
      <c r="Q35" s="2">
        <f>+C35-15018.5</f>
        <v>44878.803799999878</v>
      </c>
    </row>
    <row r="36" spans="1:17" ht="12.95" customHeight="1" x14ac:dyDescent="0.2">
      <c r="C36" s="3"/>
      <c r="D36" s="3"/>
    </row>
    <row r="37" spans="1:17" ht="12.95" customHeight="1" x14ac:dyDescent="0.2">
      <c r="C37" s="3"/>
      <c r="D37" s="3"/>
    </row>
    <row r="38" spans="1:17" ht="12.95" customHeight="1" x14ac:dyDescent="0.2">
      <c r="C38" s="3"/>
      <c r="D38" s="3"/>
    </row>
    <row r="39" spans="1:17" ht="12.95" customHeight="1" x14ac:dyDescent="0.2">
      <c r="C39" s="3"/>
      <c r="D39" s="3"/>
    </row>
    <row r="40" spans="1:17" ht="12.95" customHeight="1" x14ac:dyDescent="0.2">
      <c r="C40" s="3"/>
      <c r="D40" s="3"/>
    </row>
    <row r="41" spans="1:17" ht="12.95" customHeight="1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</sheetData>
  <sortState xmlns:xlrd2="http://schemas.microsoft.com/office/spreadsheetml/2017/richdata2" ref="A21:R40">
    <sortCondition ref="C21:C40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2024-03-01T05:04:23Z</dcterms:modified>
</cp:coreProperties>
</file>