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FCCCC5B-4F19-4813-9E92-1C8E96C90B41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2" r:id="rId1"/>
    <sheet name="Active 2" sheetId="1" r:id="rId2"/>
  </sheets>
  <calcPr calcId="181029"/>
</workbook>
</file>

<file path=xl/calcChain.xml><?xml version="1.0" encoding="utf-8"?>
<calcChain xmlns="http://schemas.openxmlformats.org/spreadsheetml/2006/main">
  <c r="E23" i="2" l="1"/>
  <c r="F23" i="2"/>
  <c r="G23" i="2"/>
  <c r="I23" i="2"/>
  <c r="E24" i="2"/>
  <c r="F24" i="2"/>
  <c r="G24" i="2"/>
  <c r="I24" i="2"/>
  <c r="E25" i="2"/>
  <c r="F25" i="2"/>
  <c r="G25" i="2"/>
  <c r="I25" i="2"/>
  <c r="E22" i="2"/>
  <c r="F22" i="2"/>
  <c r="G22" i="2"/>
  <c r="I22" i="2"/>
  <c r="E21" i="2"/>
  <c r="F21" i="2"/>
  <c r="G21" i="2"/>
  <c r="H21" i="2"/>
  <c r="F11" i="2"/>
  <c r="G11" i="2"/>
  <c r="E14" i="2"/>
  <c r="E15" i="2" s="1"/>
  <c r="C17" i="2"/>
  <c r="Q21" i="2"/>
  <c r="Q22" i="2"/>
  <c r="Q23" i="2"/>
  <c r="Q24" i="2"/>
  <c r="Q25" i="2"/>
  <c r="Q21" i="1"/>
  <c r="E21" i="1"/>
  <c r="F21" i="1"/>
  <c r="G21" i="1"/>
  <c r="H21" i="1"/>
  <c r="G11" i="1"/>
  <c r="F1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E14" i="1"/>
  <c r="C17" i="1"/>
  <c r="C11" i="2"/>
  <c r="C12" i="1"/>
  <c r="C12" i="2"/>
  <c r="C11" i="1"/>
  <c r="O21" i="1" l="1"/>
  <c r="S21" i="1" s="1"/>
  <c r="C15" i="1"/>
  <c r="O24" i="1"/>
  <c r="S24" i="1" s="1"/>
  <c r="O22" i="1"/>
  <c r="S22" i="1" s="1"/>
  <c r="O25" i="1"/>
  <c r="S25" i="1" s="1"/>
  <c r="O23" i="1"/>
  <c r="S23" i="1" s="1"/>
  <c r="C16" i="2"/>
  <c r="D18" i="2" s="1"/>
  <c r="C16" i="1"/>
  <c r="D18" i="1" s="1"/>
  <c r="O23" i="2"/>
  <c r="S23" i="2" s="1"/>
  <c r="C15" i="2"/>
  <c r="O25" i="2"/>
  <c r="S25" i="2" s="1"/>
  <c r="O22" i="2"/>
  <c r="S22" i="2" s="1"/>
  <c r="O21" i="2"/>
  <c r="S21" i="2" s="1"/>
  <c r="O24" i="2"/>
  <c r="S24" i="2" s="1"/>
  <c r="E15" i="1"/>
  <c r="E16" i="1" l="1"/>
  <c r="E17" i="1" s="1"/>
  <c r="S19" i="2"/>
  <c r="C18" i="2"/>
  <c r="E16" i="2"/>
  <c r="E17" i="2" s="1"/>
  <c r="C18" i="1"/>
  <c r="S19" i="1"/>
</calcChain>
</file>

<file path=xl/sharedStrings.xml><?xml version="1.0" encoding="utf-8"?>
<sst xmlns="http://schemas.openxmlformats.org/spreadsheetml/2006/main" count="122" uniqueCount="56">
  <si>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</si>
  <si>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</si>
  <si>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</si>
  <si>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</si>
  <si>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</si>
  <si>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</si>
  <si>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</si>
  <si>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</si>
  <si>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</si>
  <si>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</si>
  <si>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</si>
  <si>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</si>
  <si>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</si>
  <si>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</si>
  <si>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</si>
  <si>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</si>
  <si>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</si>
  <si>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</si>
  <si>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</si>
  <si>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</si>
  <si>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</si>
  <si>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</si>
  <si>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</si>
  <si>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</si>
  <si>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</si>
  <si>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</si>
  <si>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</si>
  <si>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</si>
  <si>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</si>
  <si>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</si>
  <si>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</si>
  <si>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</si>
  <si>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</si>
  <si>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</si>
  <si>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</si>
  <si>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</si>
  <si>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</si>
  <si>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</si>
  <si>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</si>
  <si>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</si>
  <si>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</si>
  <si>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</si>
  <si>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G0127-0719</t>
  </si>
  <si>
    <t>EW?</t>
  </si>
  <si>
    <t>VSX</t>
  </si>
  <si>
    <t>Ori</t>
  </si>
  <si>
    <t>IBVS 5894</t>
  </si>
  <si>
    <t>I</t>
  </si>
  <si>
    <t>II</t>
  </si>
  <si>
    <t>IBVS 5992</t>
  </si>
  <si>
    <t>IBVS 6011</t>
  </si>
  <si>
    <t>IBVS 6063</t>
  </si>
  <si>
    <t>ToMcat</t>
  </si>
  <si>
    <t>ED</t>
  </si>
  <si>
    <t>V2815 Ori / GSC 0127-0719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</si>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</sst>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0" fontId="0" fillId="0" borderId="0" xfId="0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6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V2815</a:t>
            </a:r>
            <a:r>
              <a:rPr lang="en-AU" baseline="0"/>
              <a:t> Ori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7.5</c:v>
                </c:pt>
                <c:pt idx="2">
                  <c:v>344</c:v>
                </c:pt>
                <c:pt idx="3">
                  <c:v>490</c:v>
                </c:pt>
                <c:pt idx="4">
                  <c:v>687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34-4420-A25B-E1892108AE71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7.5</c:v>
                </c:pt>
                <c:pt idx="2">
                  <c:v>344</c:v>
                </c:pt>
                <c:pt idx="3">
                  <c:v>490</c:v>
                </c:pt>
                <c:pt idx="4">
                  <c:v>687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  <c:pt idx="1">
                  <c:v>-5.2374999999301508E-2</c:v>
                </c:pt>
                <c:pt idx="2">
                  <c:v>6.5600000016274862E-3</c:v>
                </c:pt>
                <c:pt idx="3">
                  <c:v>1.4999999984866008E-3</c:v>
                </c:pt>
                <c:pt idx="4">
                  <c:v>2.2999999782769009E-4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34-4420-A25B-E1892108AE71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7.5</c:v>
                </c:pt>
                <c:pt idx="2">
                  <c:v>344</c:v>
                </c:pt>
                <c:pt idx="3">
                  <c:v>490</c:v>
                </c:pt>
                <c:pt idx="4">
                  <c:v>687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34-4420-A25B-E1892108AE71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7.5</c:v>
                </c:pt>
                <c:pt idx="2">
                  <c:v>344</c:v>
                </c:pt>
                <c:pt idx="3">
                  <c:v>490</c:v>
                </c:pt>
                <c:pt idx="4">
                  <c:v>687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34-4420-A25B-E1892108AE71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7.5</c:v>
                </c:pt>
                <c:pt idx="2">
                  <c:v>344</c:v>
                </c:pt>
                <c:pt idx="3">
                  <c:v>490</c:v>
                </c:pt>
                <c:pt idx="4">
                  <c:v>687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A34-4420-A25B-E1892108AE7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7.5</c:v>
                </c:pt>
                <c:pt idx="2">
                  <c:v>344</c:v>
                </c:pt>
                <c:pt idx="3">
                  <c:v>490</c:v>
                </c:pt>
                <c:pt idx="4">
                  <c:v>687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A34-4420-A25B-E1892108AE7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7.5</c:v>
                </c:pt>
                <c:pt idx="2">
                  <c:v>344</c:v>
                </c:pt>
                <c:pt idx="3">
                  <c:v>490</c:v>
                </c:pt>
                <c:pt idx="4">
                  <c:v>687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A34-4420-A25B-E1892108AE71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7.5</c:v>
                </c:pt>
                <c:pt idx="2">
                  <c:v>344</c:v>
                </c:pt>
                <c:pt idx="3">
                  <c:v>490</c:v>
                </c:pt>
                <c:pt idx="4">
                  <c:v>687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1.1775849116502569E-2</c:v>
                </c:pt>
                <c:pt idx="1">
                  <c:v>1.1642527877096426E-2</c:v>
                </c:pt>
                <c:pt idx="2">
                  <c:v>5.6608482690741133E-3</c:v>
                </c:pt>
                <c:pt idx="3">
                  <c:v>3.0655281419678503E-3</c:v>
                </c:pt>
                <c:pt idx="4">
                  <c:v>-4.3637641310018994E-4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A34-4420-A25B-E1892108AE71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7.5</c:v>
                </c:pt>
                <c:pt idx="2">
                  <c:v>344</c:v>
                </c:pt>
                <c:pt idx="3">
                  <c:v>490</c:v>
                </c:pt>
                <c:pt idx="4">
                  <c:v>687</c:v>
                </c:pt>
              </c:numCache>
            </c:numRef>
          </c:xVal>
          <c:yVal>
            <c:numRef>
              <c:f>'Active 1'!$R$21:$R$998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A34-4420-A25B-E1892108A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795376"/>
        <c:axId val="1"/>
      </c:scatterChart>
      <c:valAx>
        <c:axId val="837795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795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646616541353384"/>
          <c:y val="0.92375366568914952"/>
          <c:w val="0.7774436090225564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V2815</a:t>
            </a:r>
            <a:r>
              <a:rPr lang="en-AU" baseline="0"/>
              <a:t> Ori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2'!$D$21:$D$238</c:f>
                <c:numCache>
                  <c:formatCode>General</c:formatCode>
                  <c:ptCount val="21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2'!$D$21:$D$238</c:f>
                <c:numCache>
                  <c:formatCode>General</c:formatCode>
                  <c:ptCount val="21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48</c:v>
                </c:pt>
                <c:pt idx="2">
                  <c:v>2209</c:v>
                </c:pt>
                <c:pt idx="3">
                  <c:v>3146.5</c:v>
                </c:pt>
                <c:pt idx="4">
                  <c:v>4411.5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23-4EF1-BA9E-44DE2B6D2DFF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48</c:v>
                </c:pt>
                <c:pt idx="2">
                  <c:v>2209</c:v>
                </c:pt>
                <c:pt idx="3">
                  <c:v>3146.5</c:v>
                </c:pt>
                <c:pt idx="4">
                  <c:v>4411.5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  <c:pt idx="1">
                  <c:v>9.2000000586267561E-4</c:v>
                </c:pt>
                <c:pt idx="2">
                  <c:v>-4.7399999966728501E-3</c:v>
                </c:pt>
                <c:pt idx="3">
                  <c:v>-1.0899999979301356E-3</c:v>
                </c:pt>
                <c:pt idx="4">
                  <c:v>3.709999997226987E-3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23-4EF1-BA9E-44DE2B6D2DFF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48</c:v>
                </c:pt>
                <c:pt idx="2">
                  <c:v>2209</c:v>
                </c:pt>
                <c:pt idx="3">
                  <c:v>3146.5</c:v>
                </c:pt>
                <c:pt idx="4">
                  <c:v>4411.5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23-4EF1-BA9E-44DE2B6D2DFF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48</c:v>
                </c:pt>
                <c:pt idx="2">
                  <c:v>2209</c:v>
                </c:pt>
                <c:pt idx="3">
                  <c:v>3146.5</c:v>
                </c:pt>
                <c:pt idx="4">
                  <c:v>4411.5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23-4EF1-BA9E-44DE2B6D2DFF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48</c:v>
                </c:pt>
                <c:pt idx="2">
                  <c:v>2209</c:v>
                </c:pt>
                <c:pt idx="3">
                  <c:v>3146.5</c:v>
                </c:pt>
                <c:pt idx="4">
                  <c:v>4411.5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23-4EF1-BA9E-44DE2B6D2DFF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48</c:v>
                </c:pt>
                <c:pt idx="2">
                  <c:v>2209</c:v>
                </c:pt>
                <c:pt idx="3">
                  <c:v>3146.5</c:v>
                </c:pt>
                <c:pt idx="4">
                  <c:v>4411.5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23-4EF1-BA9E-44DE2B6D2DFF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5.9999999999999995E-4</c:v>
                  </c:pt>
                  <c:pt idx="2">
                    <c:v>1.5E-3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48</c:v>
                </c:pt>
                <c:pt idx="2">
                  <c:v>2209</c:v>
                </c:pt>
                <c:pt idx="3">
                  <c:v>3146.5</c:v>
                </c:pt>
                <c:pt idx="4">
                  <c:v>4411.5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23-4EF1-BA9E-44DE2B6D2DFF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48</c:v>
                </c:pt>
                <c:pt idx="2">
                  <c:v>2209</c:v>
                </c:pt>
                <c:pt idx="3">
                  <c:v>3146.5</c:v>
                </c:pt>
                <c:pt idx="4">
                  <c:v>4411.5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-1.3189449096427488E-2</c:v>
                </c:pt>
                <c:pt idx="1">
                  <c:v>-1.3005408892678998E-2</c:v>
                </c:pt>
                <c:pt idx="2">
                  <c:v>-4.719765553085481E-3</c:v>
                </c:pt>
                <c:pt idx="3">
                  <c:v>-1.1252303236227688E-3</c:v>
                </c:pt>
                <c:pt idx="4">
                  <c:v>3.7249958793322529E-3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23-4EF1-BA9E-44DE2B6D2DFF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48</c:v>
                </c:pt>
                <c:pt idx="2">
                  <c:v>2209</c:v>
                </c:pt>
                <c:pt idx="3">
                  <c:v>3146.5</c:v>
                </c:pt>
                <c:pt idx="4">
                  <c:v>4411.5</c:v>
                </c:pt>
              </c:numCache>
            </c:numRef>
          </c:xVal>
          <c:yVal>
            <c:numRef>
              <c:f>'Active 2'!$R$21:$R$998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823-4EF1-BA9E-44DE2B6D2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911312"/>
        <c:axId val="1"/>
      </c:scatterChart>
      <c:valAx>
        <c:axId val="809911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911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96992481203006"/>
          <c:y val="0.92375366568914952"/>
          <c:w val="0.7774436090225562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14EEDDF7-9202-6B02-871D-C789D0A24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2649223-44B6-6355-1E64-1252E42730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" t="s">
        <v>54</v>
      </c>
    </row>
    <row r="2" spans="1:7" s="5" customFormat="1" ht="12.95" customHeight="1" x14ac:dyDescent="0.2">
      <c r="A2" s="5" t="s">
        <v>24</v>
      </c>
      <c r="B2" s="5" t="s">
        <v>53</v>
      </c>
      <c r="C2" s="6"/>
      <c r="D2" s="6" t="s">
        <v>45</v>
      </c>
      <c r="E2" s="5" t="s">
        <v>42</v>
      </c>
      <c r="F2" s="5" t="s">
        <v>42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 t="s">
        <v>41</v>
      </c>
      <c r="D4" s="9" t="s">
        <v>41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35">
        <v>54849.701300000001</v>
      </c>
      <c r="D7" s="11" t="s">
        <v>44</v>
      </c>
    </row>
    <row r="8" spans="1:7" s="5" customFormat="1" ht="12.95" customHeight="1" x14ac:dyDescent="0.2">
      <c r="A8" s="5" t="s">
        <v>3</v>
      </c>
      <c r="C8" s="35">
        <v>2.1310099999999998</v>
      </c>
      <c r="D8" s="11" t="s">
        <v>44</v>
      </c>
    </row>
    <row r="9" spans="1:7" s="5" customFormat="1" ht="12.95" customHeight="1" x14ac:dyDescent="0.2">
      <c r="A9" s="12" t="s">
        <v>31</v>
      </c>
      <c r="C9" s="13">
        <v>-9.5</v>
      </c>
      <c r="D9" s="5" t="s">
        <v>32</v>
      </c>
    </row>
    <row r="10" spans="1:7" s="5" customFormat="1" ht="12.95" customHeight="1" thickBot="1" x14ac:dyDescent="0.25">
      <c r="C10" s="14" t="s">
        <v>20</v>
      </c>
      <c r="D10" s="14" t="s">
        <v>21</v>
      </c>
    </row>
    <row r="11" spans="1:7" s="5" customFormat="1" ht="12.95" customHeight="1" x14ac:dyDescent="0.2">
      <c r="A11" s="5" t="s">
        <v>15</v>
      </c>
      <c r="C11" s="15">
        <f ca="1">INTERCEPT(INDIRECT($G$11):G991,INDIRECT($F$11):F991)</f>
        <v>1.1775849116502569E-2</v>
      </c>
      <c r="D11" s="6"/>
      <c r="F11" s="16" t="str">
        <f>"F"&amp;E19</f>
        <v>F23</v>
      </c>
      <c r="G11" s="15" t="str">
        <f>"G"&amp;E19</f>
        <v>G23</v>
      </c>
    </row>
    <row r="12" spans="1:7" s="5" customFormat="1" ht="12.95" customHeight="1" x14ac:dyDescent="0.2">
      <c r="A12" s="5" t="s">
        <v>16</v>
      </c>
      <c r="C12" s="15">
        <f ca="1">SLOPE(INDIRECT($G$11):G991,INDIRECT($F$11):F991)</f>
        <v>-1.7776165254152488E-5</v>
      </c>
      <c r="D12" s="6"/>
    </row>
    <row r="13" spans="1:7" s="5" customFormat="1" ht="12.95" customHeight="1" x14ac:dyDescent="0.2">
      <c r="A13" s="5" t="s">
        <v>19</v>
      </c>
      <c r="C13" s="6" t="s">
        <v>13</v>
      </c>
      <c r="D13" s="17" t="s">
        <v>38</v>
      </c>
      <c r="E13" s="13">
        <v>1</v>
      </c>
    </row>
    <row r="14" spans="1:7" s="5" customFormat="1" ht="12.95" customHeight="1" x14ac:dyDescent="0.2">
      <c r="D14" s="17" t="s">
        <v>33</v>
      </c>
      <c r="E14" s="18">
        <f ca="1">NOW()+15018.5+$C$9/24</f>
        <v>60370.768466898146</v>
      </c>
    </row>
    <row r="15" spans="1:7" s="5" customFormat="1" ht="12.95" customHeight="1" x14ac:dyDescent="0.2">
      <c r="A15" s="19" t="s">
        <v>17</v>
      </c>
      <c r="C15" s="20">
        <f ca="1">(C7+C11)+(C8+C12)*INT(MAX(F21:F3532))</f>
        <v>56313.704733623592</v>
      </c>
      <c r="D15" s="17" t="s">
        <v>39</v>
      </c>
      <c r="E15" s="18">
        <f ca="1">ROUND(2*(E14-$C$7)/$C$8,0)/2+E13</f>
        <v>2592</v>
      </c>
    </row>
    <row r="16" spans="1:7" s="5" customFormat="1" ht="12.95" customHeight="1" x14ac:dyDescent="0.2">
      <c r="A16" s="7" t="s">
        <v>4</v>
      </c>
      <c r="C16" s="21">
        <f ca="1">+C8+C12</f>
        <v>2.1309922238347458</v>
      </c>
      <c r="D16" s="17" t="s">
        <v>40</v>
      </c>
      <c r="E16" s="15">
        <f ca="1">ROUND(2*(E14-$C$15)/$C$16,0)/2+E13</f>
        <v>1905</v>
      </c>
    </row>
    <row r="17" spans="1:19" s="5" customFormat="1" ht="12.95" customHeight="1" thickBot="1" x14ac:dyDescent="0.25">
      <c r="A17" s="17" t="s">
        <v>30</v>
      </c>
      <c r="C17" s="5">
        <f>COUNT(C21:C2190)</f>
        <v>5</v>
      </c>
      <c r="D17" s="17" t="s">
        <v>34</v>
      </c>
      <c r="E17" s="22">
        <f ca="1">+$C$15+$C$16*E16-15018.5-$C$9/24</f>
        <v>45355.140753362117</v>
      </c>
    </row>
    <row r="18" spans="1:19" s="5" customFormat="1" ht="12.95" customHeight="1" thickTop="1" thickBot="1" x14ac:dyDescent="0.25">
      <c r="A18" s="7" t="s">
        <v>5</v>
      </c>
      <c r="C18" s="23">
        <f ca="1">+C15</f>
        <v>56313.704733623592</v>
      </c>
      <c r="D18" s="24">
        <f ca="1">+C16</f>
        <v>2.1309922238347458</v>
      </c>
      <c r="E18" s="25" t="s">
        <v>35</v>
      </c>
    </row>
    <row r="19" spans="1:19" s="5" customFormat="1" ht="12.95" customHeight="1" thickTop="1" x14ac:dyDescent="0.2">
      <c r="A19" s="26" t="s">
        <v>36</v>
      </c>
      <c r="E19" s="27">
        <v>23</v>
      </c>
      <c r="S19" s="5">
        <f ca="1">SQRT(SUM(S21:S25)/(COUNT(S21:S25)-1))</f>
        <v>3.2560013465703787E-2</v>
      </c>
    </row>
    <row r="20" spans="1:19" s="5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">
        <v>29</v>
      </c>
      <c r="I20" s="28" t="s">
        <v>55</v>
      </c>
      <c r="J20" s="28" t="s">
        <v>18</v>
      </c>
      <c r="K20" s="28" t="s">
        <v>25</v>
      </c>
      <c r="L20" s="28" t="s">
        <v>26</v>
      </c>
      <c r="M20" s="28" t="s">
        <v>27</v>
      </c>
      <c r="N20" s="28" t="s">
        <v>28</v>
      </c>
      <c r="O20" s="28" t="s">
        <v>23</v>
      </c>
      <c r="P20" s="29" t="s">
        <v>22</v>
      </c>
      <c r="Q20" s="14" t="s">
        <v>14</v>
      </c>
      <c r="R20" s="30" t="s">
        <v>37</v>
      </c>
    </row>
    <row r="21" spans="1:19" s="5" customFormat="1" ht="12.95" customHeight="1" x14ac:dyDescent="0.2">
      <c r="A21" s="2" t="s">
        <v>46</v>
      </c>
      <c r="B21" s="3" t="s">
        <v>47</v>
      </c>
      <c r="C21" s="2">
        <v>54849.701300000001</v>
      </c>
      <c r="D21" s="2">
        <v>2.0000000000000001E-4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1.1775849116502569E-2</v>
      </c>
      <c r="Q21" s="31">
        <f>+C21-15018.5</f>
        <v>39831.201300000001</v>
      </c>
      <c r="S21" s="5">
        <f ca="1">(O21-H21)^2</f>
        <v>1.3867062241463434E-4</v>
      </c>
    </row>
    <row r="22" spans="1:19" s="5" customFormat="1" ht="12.95" customHeight="1" x14ac:dyDescent="0.2">
      <c r="A22" s="2" t="s">
        <v>46</v>
      </c>
      <c r="B22" s="3" t="s">
        <v>48</v>
      </c>
      <c r="C22" s="2">
        <v>54865.631500000003</v>
      </c>
      <c r="D22" s="2">
        <v>5.9999999999999995E-4</v>
      </c>
      <c r="E22" s="5">
        <f>+(C22-C$7)/C$8</f>
        <v>7.4754224522656001</v>
      </c>
      <c r="F22" s="5">
        <f>ROUND(2*E22,0)/2</f>
        <v>7.5</v>
      </c>
      <c r="G22" s="5">
        <f>+C22-(C$7+F22*C$8)</f>
        <v>-5.2374999999301508E-2</v>
      </c>
      <c r="I22" s="5">
        <f>+G22</f>
        <v>-5.2374999999301508E-2</v>
      </c>
      <c r="O22" s="5">
        <f ca="1">+C$11+C$12*$F22</f>
        <v>1.1642527877096426E-2</v>
      </c>
      <c r="Q22" s="31">
        <f>+C22-15018.5</f>
        <v>39847.131500000003</v>
      </c>
      <c r="S22" s="5">
        <f ca="1">(O22-I22)^2</f>
        <v>4.0982438754053859E-3</v>
      </c>
    </row>
    <row r="23" spans="1:19" s="5" customFormat="1" ht="12.95" customHeight="1" x14ac:dyDescent="0.2">
      <c r="A23" s="2" t="s">
        <v>49</v>
      </c>
      <c r="B23" s="3" t="s">
        <v>47</v>
      </c>
      <c r="C23" s="2">
        <v>55582.775300000001</v>
      </c>
      <c r="D23" s="2">
        <v>1.5E-3</v>
      </c>
      <c r="E23" s="5">
        <f>+(C23-C$7)/C$8</f>
        <v>344.00307835251857</v>
      </c>
      <c r="F23" s="5">
        <f>ROUND(2*E23,0)/2</f>
        <v>344</v>
      </c>
      <c r="G23" s="5">
        <f>+C23-(C$7+F23*C$8)</f>
        <v>6.5600000016274862E-3</v>
      </c>
      <c r="I23" s="5">
        <f>+G23</f>
        <v>6.5600000016274862E-3</v>
      </c>
      <c r="O23" s="5">
        <f ca="1">+C$11+C$12*$F23</f>
        <v>5.6608482690741133E-3</v>
      </c>
      <c r="Q23" s="31">
        <f>+C23-15018.5</f>
        <v>40564.275300000001</v>
      </c>
      <c r="S23" s="5">
        <f ca="1">(O23-I23)^2</f>
        <v>8.0847383815373228E-7</v>
      </c>
    </row>
    <row r="24" spans="1:19" s="5" customFormat="1" ht="12.95" customHeight="1" x14ac:dyDescent="0.2">
      <c r="A24" s="2" t="s">
        <v>50</v>
      </c>
      <c r="B24" s="3" t="s">
        <v>47</v>
      </c>
      <c r="C24" s="2">
        <v>55893.897700000001</v>
      </c>
      <c r="D24" s="2">
        <v>2.0000000000000001E-4</v>
      </c>
      <c r="E24" s="5">
        <f>+(C24-C$7)/C$8</f>
        <v>490.0007038915823</v>
      </c>
      <c r="F24" s="5">
        <f>ROUND(2*E24,0)/2</f>
        <v>490</v>
      </c>
      <c r="G24" s="5">
        <f>+C24-(C$7+F24*C$8)</f>
        <v>1.4999999984866008E-3</v>
      </c>
      <c r="I24" s="5">
        <f>+G24</f>
        <v>1.4999999984866008E-3</v>
      </c>
      <c r="O24" s="5">
        <f ca="1">+C$11+C$12*$F24</f>
        <v>3.0655281419678503E-3</v>
      </c>
      <c r="Q24" s="31">
        <f>+C24-15018.5</f>
        <v>40875.397700000001</v>
      </c>
      <c r="S24" s="5">
        <f ca="1">(O24-I24)^2</f>
        <v>2.4508783680318476E-6</v>
      </c>
    </row>
    <row r="25" spans="1:19" s="5" customFormat="1" ht="12.95" customHeight="1" x14ac:dyDescent="0.2">
      <c r="A25" s="32" t="s">
        <v>51</v>
      </c>
      <c r="B25" s="33" t="s">
        <v>47</v>
      </c>
      <c r="C25" s="34">
        <v>56313.705399999999</v>
      </c>
      <c r="D25" s="34">
        <v>4.0000000000000002E-4</v>
      </c>
      <c r="E25" s="5">
        <f>+(C25-C$7)/C$8</f>
        <v>687.00010793004185</v>
      </c>
      <c r="F25" s="5">
        <f>ROUND(2*E25,0)/2</f>
        <v>687</v>
      </c>
      <c r="G25" s="5">
        <f>+C25-(C$7+F25*C$8)</f>
        <v>2.2999999782769009E-4</v>
      </c>
      <c r="I25" s="5">
        <f>+G25</f>
        <v>2.2999999782769009E-4</v>
      </c>
      <c r="O25" s="5">
        <f ca="1">+C$11+C$12*$F25</f>
        <v>-4.3637641310018994E-4</v>
      </c>
      <c r="Q25" s="31">
        <f>+C25-15018.5</f>
        <v>41295.205399999999</v>
      </c>
      <c r="S25" s="5">
        <f ca="1">(O25-I25)^2</f>
        <v>4.4405752104112284E-7</v>
      </c>
    </row>
    <row r="26" spans="1:19" s="5" customFormat="1" ht="12.95" customHeight="1" x14ac:dyDescent="0.2">
      <c r="C26" s="10"/>
      <c r="D26" s="10"/>
      <c r="Q26" s="31"/>
    </row>
    <row r="27" spans="1:19" s="5" customFormat="1" ht="12.95" customHeight="1" x14ac:dyDescent="0.2">
      <c r="C27" s="10"/>
      <c r="D27" s="10"/>
      <c r="Q27" s="31"/>
    </row>
    <row r="28" spans="1:19" s="5" customFormat="1" ht="12.95" customHeight="1" x14ac:dyDescent="0.2">
      <c r="C28" s="10"/>
      <c r="D28" s="10"/>
      <c r="Q28" s="31"/>
    </row>
    <row r="29" spans="1:19" s="5" customFormat="1" ht="12.95" customHeight="1" x14ac:dyDescent="0.2">
      <c r="C29" s="10"/>
      <c r="D29" s="10"/>
      <c r="Q29" s="31"/>
    </row>
    <row r="30" spans="1:19" s="5" customFormat="1" ht="12.95" customHeight="1" x14ac:dyDescent="0.2">
      <c r="C30" s="10"/>
      <c r="D30" s="10"/>
      <c r="Q30" s="31"/>
    </row>
    <row r="31" spans="1:19" s="5" customFormat="1" ht="12.95" customHeight="1" x14ac:dyDescent="0.2">
      <c r="C31" s="10"/>
      <c r="D31" s="10"/>
      <c r="Q31" s="31"/>
    </row>
    <row r="32" spans="1:19" s="5" customFormat="1" ht="12.95" customHeight="1" x14ac:dyDescent="0.2">
      <c r="C32" s="10"/>
      <c r="D32" s="10"/>
      <c r="Q32" s="31"/>
    </row>
    <row r="33" spans="3:4" s="5" customFormat="1" ht="12.95" customHeight="1" x14ac:dyDescent="0.2">
      <c r="C33" s="10"/>
      <c r="D33" s="10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G33" sqref="G3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" t="s">
        <v>54</v>
      </c>
    </row>
    <row r="2" spans="1:7" s="5" customFormat="1" ht="12.95" customHeight="1" x14ac:dyDescent="0.2">
      <c r="A2" s="5" t="s">
        <v>24</v>
      </c>
      <c r="B2" s="5" t="s">
        <v>43</v>
      </c>
      <c r="C2" s="6"/>
      <c r="D2" s="6" t="s">
        <v>45</v>
      </c>
      <c r="E2" s="5" t="s">
        <v>42</v>
      </c>
      <c r="F2" s="5" t="s">
        <v>42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 t="s">
        <v>41</v>
      </c>
      <c r="D4" s="9" t="s">
        <v>41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10">
        <v>54849.701300000001</v>
      </c>
      <c r="D7" s="11" t="s">
        <v>52</v>
      </c>
    </row>
    <row r="8" spans="1:7" s="5" customFormat="1" ht="12.95" customHeight="1" x14ac:dyDescent="0.2">
      <c r="A8" s="5" t="s">
        <v>3</v>
      </c>
      <c r="C8" s="10">
        <v>0.33185999999999999</v>
      </c>
      <c r="D8" s="11" t="s">
        <v>52</v>
      </c>
    </row>
    <row r="9" spans="1:7" s="5" customFormat="1" ht="12.95" customHeight="1" x14ac:dyDescent="0.2">
      <c r="A9" s="12" t="s">
        <v>31</v>
      </c>
      <c r="C9" s="13">
        <v>-9.5</v>
      </c>
      <c r="D9" s="5" t="s">
        <v>32</v>
      </c>
    </row>
    <row r="10" spans="1:7" s="5" customFormat="1" ht="12.95" customHeight="1" thickBot="1" x14ac:dyDescent="0.25">
      <c r="C10" s="14" t="s">
        <v>20</v>
      </c>
      <c r="D10" s="14" t="s">
        <v>21</v>
      </c>
    </row>
    <row r="11" spans="1:7" s="5" customFormat="1" ht="12.95" customHeight="1" x14ac:dyDescent="0.2">
      <c r="A11" s="5" t="s">
        <v>15</v>
      </c>
      <c r="C11" s="15">
        <f ca="1">INTERCEPT(INDIRECT($G$11):G991,INDIRECT($F$11):F991)</f>
        <v>-1.3189449096427488E-2</v>
      </c>
      <c r="D11" s="6"/>
      <c r="F11" s="16" t="str">
        <f>"F"&amp;E19</f>
        <v>F23</v>
      </c>
      <c r="G11" s="15" t="str">
        <f>"G"&amp;E19</f>
        <v>G23</v>
      </c>
    </row>
    <row r="12" spans="1:7" s="5" customFormat="1" ht="12.95" customHeight="1" x14ac:dyDescent="0.2">
      <c r="A12" s="5" t="s">
        <v>16</v>
      </c>
      <c r="C12" s="15">
        <f ca="1">SLOPE(INDIRECT($G$11):G991,INDIRECT($F$11):F991)</f>
        <v>3.8341709114268933E-6</v>
      </c>
      <c r="D12" s="6"/>
    </row>
    <row r="13" spans="1:7" s="5" customFormat="1" ht="12.95" customHeight="1" x14ac:dyDescent="0.2">
      <c r="A13" s="5" t="s">
        <v>19</v>
      </c>
      <c r="C13" s="6" t="s">
        <v>13</v>
      </c>
      <c r="D13" s="17" t="s">
        <v>38</v>
      </c>
      <c r="E13" s="13">
        <v>1</v>
      </c>
    </row>
    <row r="14" spans="1:7" s="5" customFormat="1" ht="12.95" customHeight="1" x14ac:dyDescent="0.2">
      <c r="D14" s="17" t="s">
        <v>33</v>
      </c>
      <c r="E14" s="18">
        <f ca="1">NOW()+15018.5+$C$9/24</f>
        <v>60370.768466898146</v>
      </c>
    </row>
    <row r="15" spans="1:7" s="5" customFormat="1" ht="12.95" customHeight="1" x14ac:dyDescent="0.2">
      <c r="A15" s="19" t="s">
        <v>17</v>
      </c>
      <c r="C15" s="20">
        <f ca="1">(C7+C11)+(C8+C12)*INT(MAX(F21:F3532))</f>
        <v>56313.539483078792</v>
      </c>
      <c r="D15" s="17" t="s">
        <v>39</v>
      </c>
      <c r="E15" s="18">
        <f ca="1">ROUND(2*(E14-$C$7)/$C$8,0)/2+E13</f>
        <v>16637.5</v>
      </c>
    </row>
    <row r="16" spans="1:7" s="5" customFormat="1" ht="12.95" customHeight="1" x14ac:dyDescent="0.2">
      <c r="A16" s="7" t="s">
        <v>4</v>
      </c>
      <c r="C16" s="21">
        <f ca="1">+C8+C12</f>
        <v>0.33186383417091142</v>
      </c>
      <c r="D16" s="17" t="s">
        <v>40</v>
      </c>
      <c r="E16" s="15">
        <f ca="1">ROUND(2*(E14-$C$15)/$C$16,0)/2+E13</f>
        <v>12226.5</v>
      </c>
    </row>
    <row r="17" spans="1:19" s="5" customFormat="1" ht="12.95" customHeight="1" thickBot="1" x14ac:dyDescent="0.25">
      <c r="A17" s="17" t="s">
        <v>30</v>
      </c>
      <c r="C17" s="5">
        <f>COUNT(C21:C2190)</f>
        <v>5</v>
      </c>
      <c r="D17" s="17" t="s">
        <v>34</v>
      </c>
      <c r="E17" s="22">
        <f ca="1">+$C$15+$C$16*E16-15018.5-$C$9/24</f>
        <v>45352.968484902776</v>
      </c>
    </row>
    <row r="18" spans="1:19" s="5" customFormat="1" ht="12.95" customHeight="1" thickTop="1" thickBot="1" x14ac:dyDescent="0.25">
      <c r="A18" s="7" t="s">
        <v>5</v>
      </c>
      <c r="C18" s="23">
        <f ca="1">+C15</f>
        <v>56313.539483078792</v>
      </c>
      <c r="D18" s="24">
        <f ca="1">+C16</f>
        <v>0.33186383417091142</v>
      </c>
      <c r="E18" s="25" t="s">
        <v>35</v>
      </c>
    </row>
    <row r="19" spans="1:19" s="5" customFormat="1" ht="12.95" customHeight="1" thickTop="1" x14ac:dyDescent="0.2">
      <c r="A19" s="26" t="s">
        <v>36</v>
      </c>
      <c r="E19" s="27">
        <v>23</v>
      </c>
      <c r="S19" s="5">
        <f ca="1">SQRT(SUM(S21:S25)/(COUNT(S21:S25)-1))</f>
        <v>9.5901050039072996E-3</v>
      </c>
    </row>
    <row r="20" spans="1:19" s="5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">
        <v>29</v>
      </c>
      <c r="I20" s="28" t="s">
        <v>55</v>
      </c>
      <c r="J20" s="28" t="s">
        <v>18</v>
      </c>
      <c r="K20" s="28" t="s">
        <v>25</v>
      </c>
      <c r="L20" s="28" t="s">
        <v>26</v>
      </c>
      <c r="M20" s="28" t="s">
        <v>27</v>
      </c>
      <c r="N20" s="28" t="s">
        <v>28</v>
      </c>
      <c r="O20" s="28" t="s">
        <v>23</v>
      </c>
      <c r="P20" s="29" t="s">
        <v>22</v>
      </c>
      <c r="Q20" s="14" t="s">
        <v>14</v>
      </c>
      <c r="R20" s="30" t="s">
        <v>37</v>
      </c>
    </row>
    <row r="21" spans="1:19" s="5" customFormat="1" ht="12.95" customHeight="1" x14ac:dyDescent="0.2">
      <c r="A21" s="2" t="s">
        <v>46</v>
      </c>
      <c r="B21" s="3" t="s">
        <v>47</v>
      </c>
      <c r="C21" s="2">
        <v>54849.701300000001</v>
      </c>
      <c r="D21" s="2">
        <v>2.0000000000000001E-4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-1.3189449096427488E-2</v>
      </c>
      <c r="Q21" s="31">
        <f>+C21-15018.5</f>
        <v>39831.201300000001</v>
      </c>
      <c r="S21" s="5">
        <f ca="1">(O21-H21)^2</f>
        <v>1.7396156746725188E-4</v>
      </c>
    </row>
    <row r="22" spans="1:19" s="5" customFormat="1" ht="12.95" customHeight="1" x14ac:dyDescent="0.2">
      <c r="A22" s="2" t="s">
        <v>46</v>
      </c>
      <c r="B22" s="3" t="s">
        <v>48</v>
      </c>
      <c r="C22" s="2">
        <v>54865.631500000003</v>
      </c>
      <c r="D22" s="2">
        <v>5.9999999999999995E-4</v>
      </c>
      <c r="E22" s="5">
        <f>+(C22-C$7)/C$8</f>
        <v>48.002772253367432</v>
      </c>
      <c r="F22" s="5">
        <f>ROUND(2*E22,0)/2</f>
        <v>48</v>
      </c>
      <c r="G22" s="5">
        <f>+C22-(C$7+F22*C$8)</f>
        <v>9.2000000586267561E-4</v>
      </c>
      <c r="I22" s="5">
        <f>+G22</f>
        <v>9.2000000586267561E-4</v>
      </c>
      <c r="O22" s="5">
        <f ca="1">+C$11+C$12*$F22</f>
        <v>-1.3005408892678998E-2</v>
      </c>
      <c r="Q22" s="31">
        <f>+C22-15018.5</f>
        <v>39847.131500000003</v>
      </c>
      <c r="S22" s="5">
        <f ca="1">(O22-I22)^2</f>
        <v>1.9391701299158363E-4</v>
      </c>
    </row>
    <row r="23" spans="1:19" s="5" customFormat="1" ht="12.95" customHeight="1" x14ac:dyDescent="0.2">
      <c r="A23" s="2" t="s">
        <v>49</v>
      </c>
      <c r="B23" s="3" t="s">
        <v>47</v>
      </c>
      <c r="C23" s="2">
        <v>55582.775300000001</v>
      </c>
      <c r="D23" s="2">
        <v>1.5E-3</v>
      </c>
      <c r="E23" s="5">
        <f>+(C23-C$7)/C$8</f>
        <v>2208.9857168685608</v>
      </c>
      <c r="F23" s="5">
        <f>ROUND(2*E23,0)/2</f>
        <v>2209</v>
      </c>
      <c r="G23" s="5">
        <f>+C23-(C$7+F23*C$8)</f>
        <v>-4.7399999966728501E-3</v>
      </c>
      <c r="I23" s="5">
        <f>+G23</f>
        <v>-4.7399999966728501E-3</v>
      </c>
      <c r="O23" s="5">
        <f ca="1">+C$11+C$12*$F23</f>
        <v>-4.719765553085481E-3</v>
      </c>
      <c r="Q23" s="31">
        <f>+C23-15018.5</f>
        <v>40564.275300000001</v>
      </c>
      <c r="S23" s="5">
        <f ca="1">(O23-I23)^2</f>
        <v>4.094327072904243E-10</v>
      </c>
    </row>
    <row r="24" spans="1:19" s="5" customFormat="1" ht="12.95" customHeight="1" x14ac:dyDescent="0.2">
      <c r="A24" s="2" t="s">
        <v>50</v>
      </c>
      <c r="B24" s="3" t="s">
        <v>47</v>
      </c>
      <c r="C24" s="2">
        <v>55893.897700000001</v>
      </c>
      <c r="D24" s="2">
        <v>2.0000000000000001E-4</v>
      </c>
      <c r="E24" s="5">
        <f>+(C24-C$7)/C$8</f>
        <v>3146.4967154824344</v>
      </c>
      <c r="F24" s="5">
        <f>ROUND(2*E24,0)/2</f>
        <v>3146.5</v>
      </c>
      <c r="G24" s="5">
        <f>+C24-(C$7+F24*C$8)</f>
        <v>-1.0899999979301356E-3</v>
      </c>
      <c r="I24" s="5">
        <f>+G24</f>
        <v>-1.0899999979301356E-3</v>
      </c>
      <c r="O24" s="5">
        <f ca="1">+C$11+C$12*$F24</f>
        <v>-1.1252303236227688E-3</v>
      </c>
      <c r="Q24" s="31">
        <f>+C24-15018.5</f>
        <v>40875.397700000001</v>
      </c>
      <c r="S24" s="5">
        <f ca="1">(O24-I24)^2</f>
        <v>1.2411758484090155E-9</v>
      </c>
    </row>
    <row r="25" spans="1:19" s="5" customFormat="1" ht="12.95" customHeight="1" x14ac:dyDescent="0.2">
      <c r="A25" s="32" t="s">
        <v>51</v>
      </c>
      <c r="B25" s="33" t="s">
        <v>47</v>
      </c>
      <c r="C25" s="34">
        <v>56313.705399999999</v>
      </c>
      <c r="D25" s="34">
        <v>4.0000000000000002E-4</v>
      </c>
      <c r="E25" s="5">
        <f>+(C25-C$7)/C$8</f>
        <v>4411.5111794130007</v>
      </c>
      <c r="F25" s="5">
        <f>ROUND(2*E25,0)/2</f>
        <v>4411.5</v>
      </c>
      <c r="G25" s="5">
        <f>+C25-(C$7+F25*C$8)</f>
        <v>3.709999997226987E-3</v>
      </c>
      <c r="I25" s="5">
        <f>+G25</f>
        <v>3.709999997226987E-3</v>
      </c>
      <c r="O25" s="5">
        <f ca="1">+C$11+C$12*$F25</f>
        <v>3.7249958793322529E-3</v>
      </c>
      <c r="Q25" s="31">
        <f>+C25-15018.5</f>
        <v>41295.205399999999</v>
      </c>
      <c r="S25" s="5">
        <f ca="1">(O25-I25)^2</f>
        <v>2.2487648011503266E-10</v>
      </c>
    </row>
    <row r="26" spans="1:19" s="5" customFormat="1" ht="12.95" customHeight="1" x14ac:dyDescent="0.2">
      <c r="C26" s="10"/>
      <c r="D26" s="10"/>
      <c r="Q26" s="31"/>
    </row>
    <row r="27" spans="1:19" s="5" customFormat="1" ht="12.95" customHeight="1" x14ac:dyDescent="0.2">
      <c r="C27" s="10"/>
      <c r="D27" s="10"/>
      <c r="Q27" s="31"/>
    </row>
    <row r="28" spans="1:19" s="5" customFormat="1" ht="12.95" customHeight="1" x14ac:dyDescent="0.2">
      <c r="C28" s="10"/>
      <c r="D28" s="10"/>
      <c r="Q28" s="31"/>
    </row>
    <row r="29" spans="1:19" s="5" customFormat="1" ht="12.95" customHeight="1" x14ac:dyDescent="0.2">
      <c r="C29" s="10"/>
      <c r="D29" s="10"/>
      <c r="Q29" s="31"/>
    </row>
    <row r="30" spans="1:19" s="5" customFormat="1" ht="12.95" customHeight="1" x14ac:dyDescent="0.2">
      <c r="C30" s="10"/>
      <c r="D30" s="10"/>
      <c r="Q30" s="31"/>
    </row>
    <row r="31" spans="1:19" s="5" customFormat="1" ht="12.95" customHeight="1" x14ac:dyDescent="0.2">
      <c r="C31" s="10"/>
      <c r="D31" s="10"/>
      <c r="Q31" s="31"/>
    </row>
    <row r="32" spans="1:19" s="5" customFormat="1" ht="12.95" customHeight="1" x14ac:dyDescent="0.2">
      <c r="C32" s="10"/>
      <c r="D32" s="10"/>
      <c r="Q32" s="31"/>
    </row>
    <row r="33" spans="3:4" s="5" customFormat="1" ht="12.95" customHeight="1" x14ac:dyDescent="0.2">
      <c r="C33" s="10"/>
      <c r="D33" s="10"/>
    </row>
    <row r="34" spans="3:4" s="5" customFormat="1" ht="12.95" customHeight="1" x14ac:dyDescent="0.2">
      <c r="C34" s="10"/>
      <c r="D34" s="10"/>
    </row>
    <row r="35" spans="3:4" s="5" customFormat="1" ht="12.95" customHeight="1" x14ac:dyDescent="0.2">
      <c r="C35" s="10"/>
      <c r="D35" s="10"/>
    </row>
    <row r="36" spans="3:4" s="5" customFormat="1" ht="12.95" customHeight="1" x14ac:dyDescent="0.2">
      <c r="C36" s="10"/>
      <c r="D36" s="10"/>
    </row>
    <row r="37" spans="3:4" s="5" customFormat="1" ht="12.95" customHeight="1" x14ac:dyDescent="0.2">
      <c r="C37" s="10"/>
      <c r="D37" s="10"/>
    </row>
    <row r="38" spans="3:4" s="5" customFormat="1" ht="12.95" customHeight="1" x14ac:dyDescent="0.2">
      <c r="C38" s="10"/>
      <c r="D38" s="10"/>
    </row>
    <row r="39" spans="3:4" s="5" customFormat="1" ht="12.95" customHeight="1" x14ac:dyDescent="0.2">
      <c r="C39" s="10"/>
      <c r="D39" s="10"/>
    </row>
    <row r="40" spans="3:4" s="5" customFormat="1" ht="12.95" customHeight="1" x14ac:dyDescent="0.2">
      <c r="C40" s="10"/>
      <c r="D40" s="10"/>
    </row>
    <row r="41" spans="3:4" s="5" customFormat="1" ht="12.95" customHeight="1" x14ac:dyDescent="0.2">
      <c r="C41" s="10"/>
      <c r="D41" s="10"/>
    </row>
    <row r="42" spans="3:4" s="5" customFormat="1" ht="12.95" customHeight="1" x14ac:dyDescent="0.2">
      <c r="C42" s="10"/>
      <c r="D42" s="10"/>
    </row>
    <row r="43" spans="3:4" s="5" customFormat="1" ht="12.95" customHeight="1" x14ac:dyDescent="0.2">
      <c r="C43" s="10"/>
      <c r="D43" s="10"/>
    </row>
    <row r="44" spans="3:4" s="5" customFormat="1" ht="12.95" customHeight="1" x14ac:dyDescent="0.2">
      <c r="C44" s="10"/>
      <c r="D44" s="10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2024-03-01T05:26:35Z</dcterms:modified>
</cp:coreProperties>
</file>