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0B49A92-F502-4740-823E-42D4A5949C8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D9" i="1"/>
  <c r="C9" i="1"/>
  <c r="Q26" i="1"/>
  <c r="C21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F16" i="1"/>
  <c r="C17" i="1"/>
  <c r="A21" i="1"/>
  <c r="Q21" i="1"/>
  <c r="Q22" i="1"/>
  <c r="Q23" i="1"/>
  <c r="Q24" i="1"/>
  <c r="Q25" i="1"/>
  <c r="C11" i="1"/>
  <c r="C12" i="1"/>
  <c r="C16" i="1" l="1"/>
  <c r="D18" i="1" s="1"/>
  <c r="O23" i="1"/>
  <c r="S23" i="1" s="1"/>
  <c r="O21" i="1"/>
  <c r="S21" i="1" s="1"/>
  <c r="O26" i="1"/>
  <c r="S26" i="1" s="1"/>
  <c r="O24" i="1"/>
  <c r="S24" i="1" s="1"/>
  <c r="O22" i="1"/>
  <c r="S22" i="1" s="1"/>
  <c r="C15" i="1"/>
  <c r="O25" i="1"/>
  <c r="S25" i="1" s="1"/>
  <c r="F17" i="1"/>
  <c r="S19" i="1" l="1"/>
  <c r="C18" i="1"/>
  <c r="F18" i="1"/>
  <c r="F19" i="1" s="1"/>
</calcChain>
</file>

<file path=xl/sharedStrings.xml><?xml version="1.0" encoding="utf-8"?>
<sst xmlns="http://schemas.openxmlformats.org/spreadsheetml/2006/main" count="62" uniqueCount="57">
  <si>
    <t>G4783-2332_Ori.xls</t>
  </si>
  <si>
    <t>System Type:</t>
  </si>
  <si>
    <t>EC</t>
  </si>
  <si>
    <t>Constell:</t>
  </si>
  <si>
    <t>Ori</t>
  </si>
  <si>
    <t>G4783-2332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</si>
  <si>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</si>
  <si>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</si>
  <si>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</si>
  <si>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</si>
  <si>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</si>
  <si>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</si>
  <si>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</si>
  <si>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</si>
  <si>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</si>
  <si>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</si>
  <si>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</si>
  <si>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</si>
  <si>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</si>
  <si>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</si>
  <si>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</si>
  <si>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</si>
  <si>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</si>
  <si>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</si>
  <si>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</si>
  <si>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</si>
  <si>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</si>
  <si>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</si>
  <si>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</si>
  <si>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</si>
  <si>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</si>
  <si>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</si>
  <si>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</si>
  <si>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</si>
  <si>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</si>
  <si>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</si>
  <si>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</si>
  <si>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S5</t>
  </si>
  <si>
    <t>S6</t>
  </si>
  <si>
    <t>Misc</t>
  </si>
  <si>
    <t>Lin Fit</t>
  </si>
  <si>
    <t>Q. Fit</t>
  </si>
  <si>
    <t>Date</t>
  </si>
  <si>
    <t>BAD</t>
  </si>
  <si>
    <t>IBVS 5960</t>
  </si>
  <si>
    <t>II</t>
  </si>
  <si>
    <t>IBVS 6029</t>
  </si>
  <si>
    <t>I</t>
  </si>
  <si>
    <t>IBVS 6042</t>
  </si>
  <si>
    <t>VSB 067</t>
  </si>
  <si>
    <t>V</t>
  </si>
  <si>
    <t>V2822 Ori / GSC 4783-2332</t>
  </si>
  <si>
    <t>RHN 2021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</si>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</sst>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\$#,##0_);&quot;($&quot;#,##0\)"/>
    <numFmt numFmtId="173" formatCode="m/d/yyyy\ h:mm"/>
  </numFmts>
  <fonts count="11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>
      <alignment vertical="top"/>
    </xf>
    <xf numFmtId="3" fontId="10" fillId="0" borderId="0" applyFill="0" applyBorder="0" applyProtection="0">
      <alignment vertical="top"/>
    </xf>
    <xf numFmtId="172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</cellStyleXfs>
  <cellXfs count="32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3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0" fillId="0" borderId="0" xfId="0" applyNumberFormat="1" applyAlignment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73" fontId="7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5">
    <cellStyle name="Comma0" xfId="1"/>
    <cellStyle name="Currency0" xfId="2"/>
    <cellStyle name="Date" xfId="3"/>
    <cellStyle name="Fixed" xf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V2822 Ori - O-C Diagr.</a:t>
            </a:r>
          </a:p>
        </c:rich>
      </c:tx>
      <c:layout>
        <c:manualLayout>
          <c:xMode val="edge"/>
          <c:yMode val="edge"/>
          <c:x val="0.3639097744360902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3213251962661771"/>
          <c:w val="0.80601503759398496"/>
          <c:h val="0.696698739849438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0</c:v>
                </c:pt>
                <c:pt idx="1">
                  <c:v>3309.5</c:v>
                </c:pt>
                <c:pt idx="2">
                  <c:v>5062</c:v>
                </c:pt>
                <c:pt idx="3">
                  <c:v>6264</c:v>
                </c:pt>
                <c:pt idx="4">
                  <c:v>16600</c:v>
                </c:pt>
                <c:pt idx="5">
                  <c:v>19654.5</c:v>
                </c:pt>
              </c:numCache>
            </c:numRef>
          </c:xVal>
          <c:yVal>
            <c:numRef>
              <c:f>Active!$H$21:$H$825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9E-4670-BB71-554C4A1093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0</c:v>
                </c:pt>
                <c:pt idx="1">
                  <c:v>3309.5</c:v>
                </c:pt>
                <c:pt idx="2">
                  <c:v>5062</c:v>
                </c:pt>
                <c:pt idx="3">
                  <c:v>6264</c:v>
                </c:pt>
                <c:pt idx="4">
                  <c:v>16600</c:v>
                </c:pt>
                <c:pt idx="5">
                  <c:v>19654.5</c:v>
                </c:pt>
              </c:numCache>
            </c:numRef>
          </c:xVal>
          <c:yVal>
            <c:numRef>
              <c:f>Active!$I$21:$I$825</c:f>
              <c:numCache>
                <c:formatCode>General</c:formatCode>
                <c:ptCount val="80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9E-4670-BB71-554C4A10935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0</c:v>
                </c:pt>
                <c:pt idx="1">
                  <c:v>3309.5</c:v>
                </c:pt>
                <c:pt idx="2">
                  <c:v>5062</c:v>
                </c:pt>
                <c:pt idx="3">
                  <c:v>6264</c:v>
                </c:pt>
                <c:pt idx="4">
                  <c:v>16600</c:v>
                </c:pt>
                <c:pt idx="5">
                  <c:v>19654.5</c:v>
                </c:pt>
              </c:numCache>
            </c:numRef>
          </c:xVal>
          <c:yVal>
            <c:numRef>
              <c:f>Active!$J$21:$J$825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9E-4670-BB71-554C4A10935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0</c:v>
                </c:pt>
                <c:pt idx="1">
                  <c:v>3309.5</c:v>
                </c:pt>
                <c:pt idx="2">
                  <c:v>5062</c:v>
                </c:pt>
                <c:pt idx="3">
                  <c:v>6264</c:v>
                </c:pt>
                <c:pt idx="4">
                  <c:v>16600</c:v>
                </c:pt>
                <c:pt idx="5">
                  <c:v>19654.5</c:v>
                </c:pt>
              </c:numCache>
            </c:numRef>
          </c:xVal>
          <c:yVal>
            <c:numRef>
              <c:f>Active!$K$21:$K$825</c:f>
              <c:numCache>
                <c:formatCode>General</c:formatCode>
                <c:ptCount val="805"/>
                <c:pt idx="1">
                  <c:v>4.5899993710918352E-4</c:v>
                </c:pt>
                <c:pt idx="2">
                  <c:v>-1.736000063829124E-3</c:v>
                </c:pt>
                <c:pt idx="3">
                  <c:v>-2.1920000654063188E-3</c:v>
                </c:pt>
                <c:pt idx="4">
                  <c:v>-7.6000000626663677E-3</c:v>
                </c:pt>
                <c:pt idx="5">
                  <c:v>-8.3510000622482039E-3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9E-4670-BB71-554C4A10935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0</c:v>
                </c:pt>
                <c:pt idx="1">
                  <c:v>3309.5</c:v>
                </c:pt>
                <c:pt idx="2">
                  <c:v>5062</c:v>
                </c:pt>
                <c:pt idx="3">
                  <c:v>6264</c:v>
                </c:pt>
                <c:pt idx="4">
                  <c:v>16600</c:v>
                </c:pt>
                <c:pt idx="5">
                  <c:v>19654.5</c:v>
                </c:pt>
              </c:numCache>
            </c:numRef>
          </c:xVal>
          <c:yVal>
            <c:numRef>
              <c:f>Active!$L$21:$L$825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9E-4670-BB71-554C4A1093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0</c:v>
                </c:pt>
                <c:pt idx="1">
                  <c:v>3309.5</c:v>
                </c:pt>
                <c:pt idx="2">
                  <c:v>5062</c:v>
                </c:pt>
                <c:pt idx="3">
                  <c:v>6264</c:v>
                </c:pt>
                <c:pt idx="4">
                  <c:v>16600</c:v>
                </c:pt>
                <c:pt idx="5">
                  <c:v>19654.5</c:v>
                </c:pt>
              </c:numCache>
            </c:numRef>
          </c:xVal>
          <c:yVal>
            <c:numRef>
              <c:f>Active!$M$21:$M$825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9E-4670-BB71-554C4A1093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0</c:v>
                </c:pt>
                <c:pt idx="1">
                  <c:v>3309.5</c:v>
                </c:pt>
                <c:pt idx="2">
                  <c:v>5062</c:v>
                </c:pt>
                <c:pt idx="3">
                  <c:v>6264</c:v>
                </c:pt>
                <c:pt idx="4">
                  <c:v>16600</c:v>
                </c:pt>
                <c:pt idx="5">
                  <c:v>19654.5</c:v>
                </c:pt>
              </c:numCache>
            </c:numRef>
          </c:xVal>
          <c:yVal>
            <c:numRef>
              <c:f>Active!$N$21:$N$825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9E-4670-BB71-554C4A1093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0</c:v>
                </c:pt>
                <c:pt idx="1">
                  <c:v>3309.5</c:v>
                </c:pt>
                <c:pt idx="2">
                  <c:v>5062</c:v>
                </c:pt>
                <c:pt idx="3">
                  <c:v>6264</c:v>
                </c:pt>
                <c:pt idx="4">
                  <c:v>16600</c:v>
                </c:pt>
                <c:pt idx="5">
                  <c:v>19654.5</c:v>
                </c:pt>
              </c:numCache>
            </c:numRef>
          </c:xVal>
          <c:yVal>
            <c:numRef>
              <c:f>Active!$O$21:$O$825</c:f>
              <c:numCache>
                <c:formatCode>General</c:formatCode>
                <c:ptCount val="805"/>
                <c:pt idx="0">
                  <c:v>8.2566517667483812E-4</c:v>
                </c:pt>
                <c:pt idx="1">
                  <c:v>-7.5943453765958723E-4</c:v>
                </c:pt>
                <c:pt idx="2">
                  <c:v>-1.5988021911936801E-3</c:v>
                </c:pt>
                <c:pt idx="3">
                  <c:v>-2.1745054263137826E-3</c:v>
                </c:pt>
                <c:pt idx="4">
                  <c:v>-7.124978503020421E-3</c:v>
                </c:pt>
                <c:pt idx="5">
                  <c:v>-8.5879448355282023E-3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9E-4670-BB71-554C4A10935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0</c:v>
                </c:pt>
                <c:pt idx="1">
                  <c:v>3309.5</c:v>
                </c:pt>
                <c:pt idx="2">
                  <c:v>5062</c:v>
                </c:pt>
                <c:pt idx="3">
                  <c:v>6264</c:v>
                </c:pt>
                <c:pt idx="4">
                  <c:v>16600</c:v>
                </c:pt>
                <c:pt idx="5">
                  <c:v>19654.5</c:v>
                </c:pt>
              </c:numCache>
            </c:numRef>
          </c:xVal>
          <c:yVal>
            <c:numRef>
              <c:f>Active!$R$21:$R$825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9E-4670-BB71-554C4A109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185512"/>
        <c:axId val="1"/>
      </c:scatterChart>
      <c:valAx>
        <c:axId val="671185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233082706766912"/>
              <c:y val="0.909912432117156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90391651494013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185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47368421052632"/>
          <c:y val="0.91591875339906836"/>
          <c:w val="0.7338345864661654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17</xdr:col>
      <xdr:colOff>266700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F8E4F9-935C-F263-D8BD-F4306D884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9:E10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0.5703125" style="1" customWidth="1"/>
    <col min="6" max="6" width="14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6" customWidth="1"/>
    <col min="18" max="16384" width="10.28515625" style="1"/>
  </cols>
  <sheetData>
    <row r="1" spans="1:17" ht="20.25" x14ac:dyDescent="0.3">
      <c r="A1" s="2" t="s">
        <v>51</v>
      </c>
      <c r="E1" s="1" t="s">
        <v>0</v>
      </c>
    </row>
    <row r="2" spans="1:17" s="7" customFormat="1" ht="12.95" customHeight="1" x14ac:dyDescent="0.2">
      <c r="A2" s="7" t="s">
        <v>1</v>
      </c>
      <c r="B2" s="7" t="s">
        <v>2</v>
      </c>
      <c r="C2" s="8" t="s">
        <v>3</v>
      </c>
      <c r="D2" s="9" t="s">
        <v>4</v>
      </c>
      <c r="E2" s="3" t="s">
        <v>5</v>
      </c>
      <c r="F2" s="7" t="e">
        <v>#N/A</v>
      </c>
      <c r="Q2" s="10"/>
    </row>
    <row r="3" spans="1:17" s="7" customFormat="1" ht="12.95" customHeight="1" x14ac:dyDescent="0.2">
      <c r="Q3" s="10"/>
    </row>
    <row r="4" spans="1:17" s="7" customFormat="1" ht="12.95" customHeight="1" x14ac:dyDescent="0.2">
      <c r="A4" s="11" t="s">
        <v>6</v>
      </c>
      <c r="C4" s="12" t="s">
        <v>7</v>
      </c>
      <c r="D4" s="13" t="s">
        <v>7</v>
      </c>
      <c r="Q4" s="10"/>
    </row>
    <row r="5" spans="1:17" s="7" customFormat="1" ht="12.95" customHeight="1" x14ac:dyDescent="0.2">
      <c r="A5" s="14" t="s">
        <v>12</v>
      </c>
      <c r="C5" s="15">
        <v>-9.5</v>
      </c>
      <c r="D5" s="7" t="s">
        <v>13</v>
      </c>
      <c r="Q5" s="10"/>
    </row>
    <row r="6" spans="1:17" s="7" customFormat="1" ht="12.95" customHeight="1" x14ac:dyDescent="0.2">
      <c r="A6" s="11" t="s">
        <v>8</v>
      </c>
      <c r="Q6" s="10"/>
    </row>
    <row r="7" spans="1:17" s="7" customFormat="1" ht="12.95" customHeight="1" x14ac:dyDescent="0.2">
      <c r="A7" s="7" t="s">
        <v>9</v>
      </c>
      <c r="C7" s="31">
        <v>54702.918000000063</v>
      </c>
      <c r="D7" s="17" t="s">
        <v>10</v>
      </c>
      <c r="Q7" s="10"/>
    </row>
    <row r="8" spans="1:17" s="7" customFormat="1" ht="12.95" customHeight="1" x14ac:dyDescent="0.2">
      <c r="A8" s="7" t="s">
        <v>11</v>
      </c>
      <c r="C8" s="31">
        <v>0.24807799999999999</v>
      </c>
      <c r="D8" s="17" t="s">
        <v>10</v>
      </c>
      <c r="Q8" s="10"/>
    </row>
    <row r="9" spans="1:17" s="7" customFormat="1" ht="12.95" customHeight="1" x14ac:dyDescent="0.2">
      <c r="A9" s="18" t="s">
        <v>29</v>
      </c>
      <c r="B9" s="19">
        <v>21</v>
      </c>
      <c r="C9" s="20" t="str">
        <f>"F"&amp;B9</f>
        <v>F21</v>
      </c>
      <c r="D9" s="21" t="str">
        <f>"G"&amp;B9</f>
        <v>G21</v>
      </c>
      <c r="Q9" s="10"/>
    </row>
    <row r="10" spans="1:17" s="7" customFormat="1" ht="12.95" customHeight="1" x14ac:dyDescent="0.2">
      <c r="C10" s="22" t="s">
        <v>14</v>
      </c>
      <c r="D10" s="22" t="s">
        <v>15</v>
      </c>
      <c r="Q10" s="10"/>
    </row>
    <row r="11" spans="1:17" s="7" customFormat="1" ht="12.95" customHeight="1" x14ac:dyDescent="0.2">
      <c r="A11" s="7" t="s">
        <v>16</v>
      </c>
      <c r="C11" s="21">
        <f ca="1">INTERCEPT(INDIRECT($D$9):G992,INDIRECT($C$9):F992)</f>
        <v>8.2566517667483812E-4</v>
      </c>
      <c r="D11" s="9"/>
      <c r="Q11" s="10"/>
    </row>
    <row r="12" spans="1:17" s="7" customFormat="1" ht="12.95" customHeight="1" x14ac:dyDescent="0.2">
      <c r="A12" s="7" t="s">
        <v>17</v>
      </c>
      <c r="C12" s="21">
        <f ca="1">SLOPE(INDIRECT($D$9):G992,INDIRECT($C$9):F992)</f>
        <v>-4.7895443853585897E-7</v>
      </c>
      <c r="D12" s="9"/>
      <c r="Q12" s="10"/>
    </row>
    <row r="13" spans="1:17" s="7" customFormat="1" ht="12.95" customHeight="1" x14ac:dyDescent="0.2">
      <c r="A13" s="7" t="s">
        <v>18</v>
      </c>
      <c r="C13" s="9" t="s">
        <v>19</v>
      </c>
      <c r="Q13" s="10"/>
    </row>
    <row r="14" spans="1:17" s="7" customFormat="1" ht="12.95" customHeight="1" x14ac:dyDescent="0.2">
      <c r="Q14" s="10"/>
    </row>
    <row r="15" spans="1:17" s="7" customFormat="1" ht="12.95" customHeight="1" x14ac:dyDescent="0.2">
      <c r="A15" s="11" t="s">
        <v>22</v>
      </c>
      <c r="C15" s="23">
        <f ca="1">(C7+C11)+(C8+C12)*INT(MAX(F21:F3533))</f>
        <v>59578.634424294709</v>
      </c>
      <c r="E15" s="18" t="s">
        <v>20</v>
      </c>
      <c r="F15" s="15">
        <v>1</v>
      </c>
      <c r="Q15" s="10"/>
    </row>
    <row r="16" spans="1:17" s="7" customFormat="1" ht="12.95" customHeight="1" x14ac:dyDescent="0.2">
      <c r="A16" s="11" t="s">
        <v>24</v>
      </c>
      <c r="C16" s="23">
        <f ca="1">+C8+C12</f>
        <v>0.24807752104556147</v>
      </c>
      <c r="E16" s="18" t="s">
        <v>21</v>
      </c>
      <c r="F16" s="21">
        <f ca="1">NOW()+15018.5+$C$5/24</f>
        <v>60370.77087025463</v>
      </c>
      <c r="Q16" s="10"/>
    </row>
    <row r="17" spans="1:19" s="7" customFormat="1" ht="12.95" customHeight="1" x14ac:dyDescent="0.2">
      <c r="A17" s="18" t="s">
        <v>26</v>
      </c>
      <c r="C17" s="7">
        <f>COUNT(C21:C2191)</f>
        <v>6</v>
      </c>
      <c r="E17" s="18" t="s">
        <v>23</v>
      </c>
      <c r="F17" s="21">
        <f ca="1">ROUND(2*(F16-$C$7)/$C$8,0)/2+F15</f>
        <v>22848</v>
      </c>
      <c r="Q17" s="10"/>
    </row>
    <row r="18" spans="1:19" s="7" customFormat="1" ht="12.95" customHeight="1" x14ac:dyDescent="0.2">
      <c r="A18" s="11" t="s">
        <v>28</v>
      </c>
      <c r="C18" s="24">
        <f ca="1">+C15</f>
        <v>59578.634424294709</v>
      </c>
      <c r="D18" s="25">
        <f ca="1">+C16</f>
        <v>0.24807752104556147</v>
      </c>
      <c r="E18" s="18" t="s">
        <v>25</v>
      </c>
      <c r="F18" s="21">
        <f ca="1">ROUND(2*(F16-$C$15)/$C$16,0)/2+F15</f>
        <v>3194</v>
      </c>
      <c r="Q18" s="10"/>
    </row>
    <row r="19" spans="1:19" s="7" customFormat="1" ht="12.95" customHeight="1" x14ac:dyDescent="0.2">
      <c r="E19" s="18" t="s">
        <v>27</v>
      </c>
      <c r="F19" s="26">
        <f ca="1">+$C$15+$C$16*F18-15018.5-$C$5/24</f>
        <v>45352.889859847572</v>
      </c>
      <c r="Q19" s="10"/>
      <c r="S19" s="7">
        <f ca="1">SQRT(SUM(S21:S50)/(COUNT(S21:S50)-1))</f>
        <v>7.0245614519973967E-4</v>
      </c>
    </row>
    <row r="20" spans="1:19" s="7" customFormat="1" ht="12.95" customHeight="1" x14ac:dyDescent="0.2">
      <c r="A20" s="22" t="s">
        <v>30</v>
      </c>
      <c r="B20" s="22" t="s">
        <v>31</v>
      </c>
      <c r="C20" s="22" t="s">
        <v>32</v>
      </c>
      <c r="D20" s="22" t="s">
        <v>33</v>
      </c>
      <c r="E20" s="22" t="s">
        <v>34</v>
      </c>
      <c r="F20" s="22" t="s">
        <v>35</v>
      </c>
      <c r="G20" s="22" t="s">
        <v>36</v>
      </c>
      <c r="H20" s="27" t="s">
        <v>53</v>
      </c>
      <c r="I20" s="27" t="s">
        <v>54</v>
      </c>
      <c r="J20" s="27" t="s">
        <v>55</v>
      </c>
      <c r="K20" s="27" t="s">
        <v>56</v>
      </c>
      <c r="L20" s="27" t="s">
        <v>37</v>
      </c>
      <c r="M20" s="27" t="s">
        <v>38</v>
      </c>
      <c r="N20" s="27" t="s">
        <v>39</v>
      </c>
      <c r="O20" s="27" t="s">
        <v>40</v>
      </c>
      <c r="P20" s="27" t="s">
        <v>41</v>
      </c>
      <c r="Q20" s="28" t="s">
        <v>42</v>
      </c>
      <c r="R20" s="29" t="s">
        <v>43</v>
      </c>
    </row>
    <row r="21" spans="1:19" s="7" customFormat="1" ht="12.95" customHeight="1" x14ac:dyDescent="0.2">
      <c r="A21" s="7" t="str">
        <f>D7</f>
        <v>VSX</v>
      </c>
      <c r="C21" s="16">
        <f>C$7</f>
        <v>54702.918000000063</v>
      </c>
      <c r="D21" s="16" t="s">
        <v>19</v>
      </c>
      <c r="E21" s="7">
        <f t="shared" ref="E21:E26" si="0">+(C21-C$7)/C$8</f>
        <v>0</v>
      </c>
      <c r="F21" s="7">
        <f t="shared" ref="F21:F26" si="1">ROUND(2*E21,0)/2</f>
        <v>0</v>
      </c>
      <c r="G21" s="7">
        <f t="shared" ref="G21:G26" si="2">+C21-(C$7+F21*C$8)</f>
        <v>0</v>
      </c>
      <c r="I21" s="7">
        <f>+G21</f>
        <v>0</v>
      </c>
      <c r="O21" s="7">
        <f t="shared" ref="O21:O26" ca="1" si="3">+C$11+C$12*$F21</f>
        <v>8.2566517667483812E-4</v>
      </c>
      <c r="Q21" s="10">
        <f t="shared" ref="Q21:Q26" si="4">+C21-15018.5</f>
        <v>39684.418000000063</v>
      </c>
      <c r="S21" s="7">
        <f t="shared" ref="S21:S26" ca="1" si="5">+(O21-G21)^2</f>
        <v>6.817229839734917E-7</v>
      </c>
    </row>
    <row r="22" spans="1:19" s="7" customFormat="1" ht="12.95" customHeight="1" x14ac:dyDescent="0.2">
      <c r="A22" s="4" t="s">
        <v>44</v>
      </c>
      <c r="B22" s="5" t="s">
        <v>45</v>
      </c>
      <c r="C22" s="4">
        <v>55523.9326</v>
      </c>
      <c r="D22" s="4">
        <v>2.0000000000000001E-4</v>
      </c>
      <c r="E22" s="7">
        <f t="shared" si="0"/>
        <v>3309.5018502242715</v>
      </c>
      <c r="F22" s="7">
        <f t="shared" si="1"/>
        <v>3309.5</v>
      </c>
      <c r="G22" s="7">
        <f t="shared" si="2"/>
        <v>4.5899993710918352E-4</v>
      </c>
      <c r="K22" s="7">
        <f>+G22</f>
        <v>4.5899993710918352E-4</v>
      </c>
      <c r="O22" s="7">
        <f t="shared" ca="1" si="3"/>
        <v>-7.5943453765958723E-4</v>
      </c>
      <c r="Q22" s="10">
        <f t="shared" si="4"/>
        <v>40505.4326</v>
      </c>
      <c r="S22" s="7">
        <f t="shared" ca="1" si="5"/>
        <v>1.4845825693050502E-6</v>
      </c>
    </row>
    <row r="23" spans="1:19" s="7" customFormat="1" ht="12.95" customHeight="1" x14ac:dyDescent="0.2">
      <c r="A23" s="4" t="s">
        <v>46</v>
      </c>
      <c r="B23" s="5" t="s">
        <v>47</v>
      </c>
      <c r="C23" s="4">
        <v>55958.687100000003</v>
      </c>
      <c r="D23" s="4">
        <v>2.9999999999999997E-4</v>
      </c>
      <c r="E23" s="7">
        <f t="shared" si="0"/>
        <v>5061.9930022006765</v>
      </c>
      <c r="F23" s="7">
        <f t="shared" si="1"/>
        <v>5062</v>
      </c>
      <c r="G23" s="7">
        <f t="shared" si="2"/>
        <v>-1.736000063829124E-3</v>
      </c>
      <c r="K23" s="7">
        <f>+G23</f>
        <v>-1.736000063829124E-3</v>
      </c>
      <c r="O23" s="7">
        <f t="shared" ca="1" si="3"/>
        <v>-1.5988021911936801E-3</v>
      </c>
      <c r="Q23" s="10">
        <f t="shared" si="4"/>
        <v>40940.187100000003</v>
      </c>
      <c r="S23" s="7">
        <f t="shared" ca="1" si="5"/>
        <v>1.8823256255691478E-8</v>
      </c>
    </row>
    <row r="24" spans="1:19" s="7" customFormat="1" ht="12.95" customHeight="1" x14ac:dyDescent="0.2">
      <c r="A24" s="30" t="s">
        <v>48</v>
      </c>
      <c r="B24" s="5" t="s">
        <v>47</v>
      </c>
      <c r="C24" s="4">
        <v>56256.876400000001</v>
      </c>
      <c r="D24" s="4">
        <v>4.0000000000000002E-4</v>
      </c>
      <c r="E24" s="7">
        <f t="shared" si="0"/>
        <v>6263.9911640691143</v>
      </c>
      <c r="F24" s="7">
        <f t="shared" si="1"/>
        <v>6264</v>
      </c>
      <c r="G24" s="7">
        <f t="shared" si="2"/>
        <v>-2.1920000654063188E-3</v>
      </c>
      <c r="K24" s="7">
        <f>+G24</f>
        <v>-2.1920000654063188E-3</v>
      </c>
      <c r="O24" s="7">
        <f t="shared" ca="1" si="3"/>
        <v>-2.1745054263137826E-3</v>
      </c>
      <c r="Q24" s="10">
        <f t="shared" si="4"/>
        <v>41238.376400000001</v>
      </c>
      <c r="S24" s="7">
        <f t="shared" ca="1" si="5"/>
        <v>3.0606239697809283E-10</v>
      </c>
    </row>
    <row r="25" spans="1:19" s="7" customFormat="1" ht="12.95" customHeight="1" x14ac:dyDescent="0.2">
      <c r="A25" s="30" t="s">
        <v>49</v>
      </c>
      <c r="B25" s="5" t="s">
        <v>47</v>
      </c>
      <c r="C25" s="4">
        <v>58821.0052</v>
      </c>
      <c r="D25" s="4" t="s">
        <v>50</v>
      </c>
      <c r="E25" s="7">
        <f t="shared" si="0"/>
        <v>16599.969364473822</v>
      </c>
      <c r="F25" s="7">
        <f t="shared" si="1"/>
        <v>16600</v>
      </c>
      <c r="G25" s="7">
        <f t="shared" si="2"/>
        <v>-7.6000000626663677E-3</v>
      </c>
      <c r="K25" s="7">
        <f>+G25</f>
        <v>-7.6000000626663677E-3</v>
      </c>
      <c r="O25" s="7">
        <f t="shared" ca="1" si="3"/>
        <v>-7.124978503020421E-3</v>
      </c>
      <c r="Q25" s="10">
        <f t="shared" si="4"/>
        <v>43802.5052</v>
      </c>
      <c r="S25" s="7">
        <f t="shared" ca="1" si="5"/>
        <v>2.2564548212846772E-7</v>
      </c>
    </row>
    <row r="26" spans="1:19" s="7" customFormat="1" ht="12.95" customHeight="1" x14ac:dyDescent="0.2">
      <c r="A26" s="11" t="s">
        <v>52</v>
      </c>
      <c r="C26" s="16">
        <v>59578.758699999998</v>
      </c>
      <c r="D26" s="16">
        <v>2.0000000000000001E-4</v>
      </c>
      <c r="E26" s="7">
        <f t="shared" si="0"/>
        <v>19654.466337200134</v>
      </c>
      <c r="F26" s="7">
        <f t="shared" si="1"/>
        <v>19654.5</v>
      </c>
      <c r="G26" s="7">
        <f t="shared" si="2"/>
        <v>-8.3510000622482039E-3</v>
      </c>
      <c r="K26" s="7">
        <f>+G26</f>
        <v>-8.3510000622482039E-3</v>
      </c>
      <c r="O26" s="7">
        <f t="shared" ca="1" si="3"/>
        <v>-8.5879448355282023E-3</v>
      </c>
      <c r="Q26" s="10">
        <f t="shared" si="4"/>
        <v>44560.258699999998</v>
      </c>
      <c r="S26" s="7">
        <f t="shared" ca="1" si="5"/>
        <v>5.614282558470985E-8</v>
      </c>
    </row>
    <row r="27" spans="1:19" s="7" customFormat="1" ht="12.95" customHeight="1" x14ac:dyDescent="0.2">
      <c r="Q27" s="10"/>
    </row>
    <row r="28" spans="1:19" s="7" customFormat="1" ht="12.95" customHeight="1" x14ac:dyDescent="0.2">
      <c r="Q28" s="10"/>
    </row>
    <row r="29" spans="1:19" s="7" customFormat="1" ht="12.95" customHeight="1" x14ac:dyDescent="0.2">
      <c r="Q29" s="10"/>
    </row>
    <row r="30" spans="1:19" s="7" customFormat="1" ht="12.95" customHeight="1" x14ac:dyDescent="0.2">
      <c r="Q30" s="10"/>
    </row>
    <row r="31" spans="1:19" s="7" customFormat="1" ht="12.95" customHeight="1" x14ac:dyDescent="0.2">
      <c r="Q31" s="10"/>
    </row>
    <row r="32" spans="1:19" s="7" customFormat="1" ht="12.95" customHeight="1" x14ac:dyDescent="0.2">
      <c r="Q32" s="10"/>
    </row>
    <row r="33" spans="17:17" s="7" customFormat="1" ht="12.95" customHeight="1" x14ac:dyDescent="0.2">
      <c r="Q33" s="10"/>
    </row>
    <row r="34" spans="17:17" s="7" customFormat="1" ht="12.95" customHeight="1" x14ac:dyDescent="0.2">
      <c r="Q34" s="10"/>
    </row>
    <row r="35" spans="17:17" s="7" customFormat="1" ht="12.95" customHeight="1" x14ac:dyDescent="0.2">
      <c r="Q35" s="10"/>
    </row>
    <row r="36" spans="17:17" s="7" customFormat="1" ht="12.95" customHeight="1" x14ac:dyDescent="0.2">
      <c r="Q36" s="10"/>
    </row>
    <row r="37" spans="17:17" s="7" customFormat="1" ht="12.95" customHeight="1" x14ac:dyDescent="0.2">
      <c r="Q37" s="10"/>
    </row>
    <row r="38" spans="17:17" s="7" customFormat="1" ht="12.95" customHeight="1" x14ac:dyDescent="0.2">
      <c r="Q38" s="10"/>
    </row>
    <row r="39" spans="17:17" s="7" customFormat="1" ht="12.95" customHeight="1" x14ac:dyDescent="0.2">
      <c r="Q39" s="10"/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2024-03-01T05:30:03Z</dcterms:created>
  <dcterms:modified xsi:type="dcterms:W3CDTF">2024-03-01T05:30:03Z</dcterms:modified>
</cp:coreProperties>
</file>