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1109E5E-5F55-4855-9354-7874B486071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4" i="1"/>
  <c r="F24" i="1"/>
  <c r="G24" i="1"/>
  <c r="I24" i="1"/>
  <c r="E23" i="1"/>
  <c r="F23" i="1"/>
  <c r="G23" i="1"/>
  <c r="I23" i="1"/>
  <c r="E25" i="1"/>
  <c r="F25" i="1"/>
  <c r="G25" i="1"/>
  <c r="I25" i="1"/>
  <c r="C21" i="1"/>
  <c r="E21" i="1"/>
  <c r="F21" i="1"/>
  <c r="G21" i="1"/>
  <c r="H21" i="1"/>
  <c r="Q22" i="1"/>
  <c r="Q24" i="1"/>
  <c r="Q23" i="1"/>
  <c r="Q25" i="1"/>
  <c r="F11" i="1"/>
  <c r="A21" i="1"/>
  <c r="H20" i="1"/>
  <c r="G11" i="1"/>
  <c r="E14" i="1"/>
  <c r="C17" i="1"/>
  <c r="Q21" i="1"/>
  <c r="C11" i="1"/>
  <c r="E15" i="1" l="1"/>
  <c r="C12" i="1"/>
  <c r="C16" i="1" l="1"/>
  <c r="D18" i="1" s="1"/>
  <c r="O24" i="1"/>
  <c r="S24" i="1" s="1"/>
  <c r="O23" i="1"/>
  <c r="S23" i="1" s="1"/>
  <c r="O25" i="1"/>
  <c r="S25" i="1" s="1"/>
  <c r="C15" i="1"/>
  <c r="O22" i="1"/>
  <c r="S22" i="1" s="1"/>
  <c r="O21" i="1"/>
  <c r="S21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<sst xmlns="http://schemas.openxmlformats.org/spreadsheetml/2006/main" count="60" uniqueCount="54">
  <si>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</si>
  <si>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</si>
  <si>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</si>
  <si>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</si>
  <si>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</si>
  <si>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</si>
  <si>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</si>
  <si>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</si>
  <si>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</si>
  <si>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</si>
  <si>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</si>
  <si>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</si>
  <si>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</si>
  <si>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</si>
  <si>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</si>
  <si>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</si>
  <si>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</si>
  <si>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</si>
  <si>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</si>
  <si>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</si>
  <si>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</si>
  <si>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</si>
  <si>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</si>
  <si>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</si>
  <si>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</si>
  <si>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</si>
  <si>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</si>
  <si>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</si>
  <si>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</si>
  <si>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</si>
  <si>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</si>
  <si>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</si>
  <si>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</si>
  <si>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</si>
  <si>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</si>
  <si>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</si>
  <si>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</si>
  <si>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</si>
  <si>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</si>
  <si>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</si>
  <si>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</si>
  <si>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</si>
  <si>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G1315-1104</t>
  </si>
  <si>
    <t>IBVS 5960</t>
  </si>
  <si>
    <t>I</t>
  </si>
  <si>
    <t>IBVS 6011</t>
  </si>
  <si>
    <t>IBVS 6070</t>
  </si>
  <si>
    <t>IBVS 6042</t>
  </si>
  <si>
    <t>G1315-1104_Ori.xls</t>
  </si>
  <si>
    <t>ESDEC</t>
  </si>
  <si>
    <t>Ori</t>
  </si>
  <si>
    <t>VSX</t>
  </si>
  <si>
    <t>V2827 Ori / GSC 1315-1104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</si>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</sst>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V2827 Ori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AD-4C6B-91D5-3033672B887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4.1399999827262945E-3</c:v>
                </c:pt>
                <c:pt idx="2">
                  <c:v>3.5999999818159267E-3</c:v>
                </c:pt>
                <c:pt idx="3">
                  <c:v>3.1999981729313731E-5</c:v>
                </c:pt>
                <c:pt idx="4">
                  <c:v>2.9599998379126191E-4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AD-4C6B-91D5-3033672B887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AD-4C6B-91D5-3033672B887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AD-4C6B-91D5-3033672B887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AD-4C6B-91D5-3033672B887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AD-4C6B-91D5-3033672B887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1E-3</c:v>
                  </c:pt>
                  <c:pt idx="4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AD-4C6B-91D5-3033672B887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9.7541584533451895E-4</c:v>
                </c:pt>
                <c:pt idx="1">
                  <c:v>1.6627415365142607E-3</c:v>
                </c:pt>
                <c:pt idx="2">
                  <c:v>1.6836147679166824E-3</c:v>
                </c:pt>
                <c:pt idx="3">
                  <c:v>1.8025921869104858E-3</c:v>
                </c:pt>
                <c:pt idx="4">
                  <c:v>1.9436355933868494E-3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AD-4C6B-91D5-3033672B887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2305</c:v>
                </c:pt>
                <c:pt idx="2">
                  <c:v>2375</c:v>
                </c:pt>
                <c:pt idx="3">
                  <c:v>2774</c:v>
                </c:pt>
                <c:pt idx="4">
                  <c:v>3247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AD-4C6B-91D5-3033672B8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259872"/>
        <c:axId val="1"/>
      </c:scatterChart>
      <c:valAx>
        <c:axId val="66225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259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55046B0-E98E-987D-1500-7FF5E6BE6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52</v>
      </c>
      <c r="E1" t="s">
        <v>48</v>
      </c>
    </row>
    <row r="2" spans="1:7" s="6" customFormat="1" ht="12.95" customHeight="1" x14ac:dyDescent="0.2">
      <c r="A2" s="6" t="s">
        <v>24</v>
      </c>
      <c r="B2" s="6" t="s">
        <v>49</v>
      </c>
      <c r="C2" s="7" t="s">
        <v>41</v>
      </c>
      <c r="D2" s="8" t="s">
        <v>50</v>
      </c>
      <c r="E2" s="3" t="s">
        <v>42</v>
      </c>
      <c r="F2" s="6" t="e">
        <v>#N/A</v>
      </c>
    </row>
    <row r="3" spans="1:7" s="6" customFormat="1" ht="12.95" customHeight="1" thickBot="1" x14ac:dyDescent="0.25"/>
    <row r="4" spans="1:7" s="6" customFormat="1" ht="12.95" customHeight="1" thickTop="1" thickBot="1" x14ac:dyDescent="0.25">
      <c r="A4" s="9" t="s">
        <v>0</v>
      </c>
      <c r="C4" s="10" t="s">
        <v>40</v>
      </c>
      <c r="D4" s="11" t="s">
        <v>40</v>
      </c>
    </row>
    <row r="5" spans="1:7" s="6" customFormat="1" ht="12.95" customHeight="1" x14ac:dyDescent="0.2"/>
    <row r="6" spans="1:7" s="6" customFormat="1" ht="12.95" customHeight="1" x14ac:dyDescent="0.2">
      <c r="A6" s="9" t="s">
        <v>1</v>
      </c>
    </row>
    <row r="7" spans="1:7" s="6" customFormat="1" ht="12.95" customHeight="1" x14ac:dyDescent="0.2">
      <c r="A7" s="6" t="s">
        <v>2</v>
      </c>
      <c r="C7" s="12">
        <v>53779.645000000019</v>
      </c>
      <c r="D7" s="13" t="s">
        <v>51</v>
      </c>
    </row>
    <row r="8" spans="1:7" s="6" customFormat="1" ht="12.95" customHeight="1" x14ac:dyDescent="0.2">
      <c r="A8" s="6" t="s">
        <v>3</v>
      </c>
      <c r="C8" s="12">
        <v>0.76323200000000002</v>
      </c>
      <c r="D8" s="13" t="s">
        <v>51</v>
      </c>
    </row>
    <row r="9" spans="1:7" s="6" customFormat="1" ht="12.95" customHeight="1" x14ac:dyDescent="0.2">
      <c r="A9" s="14" t="s">
        <v>30</v>
      </c>
      <c r="C9" s="15">
        <v>-9.5</v>
      </c>
      <c r="D9" s="6" t="s">
        <v>31</v>
      </c>
    </row>
    <row r="10" spans="1:7" s="6" customFormat="1" ht="12.95" customHeight="1" thickBot="1" x14ac:dyDescent="0.25">
      <c r="C10" s="16" t="s">
        <v>20</v>
      </c>
      <c r="D10" s="16" t="s">
        <v>21</v>
      </c>
    </row>
    <row r="11" spans="1:7" s="6" customFormat="1" ht="12.95" customHeight="1" x14ac:dyDescent="0.2">
      <c r="A11" s="6" t="s">
        <v>15</v>
      </c>
      <c r="C11" s="17">
        <f ca="1">INTERCEPT(INDIRECT($G$11):G992,INDIRECT($F$11):F992)</f>
        <v>9.7541584533451895E-4</v>
      </c>
      <c r="D11" s="8"/>
      <c r="F11" s="18" t="str">
        <f>"F"&amp;E19</f>
        <v>F21</v>
      </c>
      <c r="G11" s="17" t="str">
        <f>"G"&amp;E19</f>
        <v>G21</v>
      </c>
    </row>
    <row r="12" spans="1:7" s="6" customFormat="1" ht="12.95" customHeight="1" x14ac:dyDescent="0.2">
      <c r="A12" s="6" t="s">
        <v>16</v>
      </c>
      <c r="C12" s="17">
        <f ca="1">SLOPE(INDIRECT($G$11):G992,INDIRECT($F$11):F992)</f>
        <v>2.9818902003459515E-7</v>
      </c>
      <c r="D12" s="8"/>
    </row>
    <row r="13" spans="1:7" s="6" customFormat="1" ht="12.95" customHeight="1" x14ac:dyDescent="0.2">
      <c r="A13" s="6" t="s">
        <v>19</v>
      </c>
      <c r="C13" s="8" t="s">
        <v>13</v>
      </c>
      <c r="D13" s="19" t="s">
        <v>37</v>
      </c>
      <c r="E13" s="15">
        <v>1</v>
      </c>
    </row>
    <row r="14" spans="1:7" s="6" customFormat="1" ht="12.95" customHeight="1" x14ac:dyDescent="0.2">
      <c r="D14" s="19" t="s">
        <v>32</v>
      </c>
      <c r="E14" s="20">
        <f ca="1">NOW()+15018.5+$C$9/24</f>
        <v>60370.773817592592</v>
      </c>
    </row>
    <row r="15" spans="1:7" s="6" customFormat="1" ht="12.95" customHeight="1" x14ac:dyDescent="0.2">
      <c r="A15" s="21" t="s">
        <v>17</v>
      </c>
      <c r="C15" s="22">
        <f ca="1">(C7+C11)+(C8+C12)*INT(MAX(F21:F3533))</f>
        <v>56257.861247635614</v>
      </c>
      <c r="D15" s="19" t="s">
        <v>38</v>
      </c>
      <c r="E15" s="20">
        <f ca="1">ROUND(2*(E14-$C$7)/$C$8,0)/2+E13</f>
        <v>8637</v>
      </c>
    </row>
    <row r="16" spans="1:7" s="6" customFormat="1" ht="12.95" customHeight="1" x14ac:dyDescent="0.2">
      <c r="A16" s="9" t="s">
        <v>4</v>
      </c>
      <c r="C16" s="23">
        <f ca="1">+C8+C12</f>
        <v>0.76323229818902005</v>
      </c>
      <c r="D16" s="19" t="s">
        <v>39</v>
      </c>
      <c r="E16" s="17">
        <f ca="1">ROUND(2*(E14-$C$15)/$C$16,0)/2+E13</f>
        <v>5390</v>
      </c>
    </row>
    <row r="17" spans="1:19" s="6" customFormat="1" ht="12.95" customHeight="1" thickBot="1" x14ac:dyDescent="0.25">
      <c r="A17" s="19" t="s">
        <v>29</v>
      </c>
      <c r="C17" s="6">
        <f>COUNT(C21:C2191)</f>
        <v>5</v>
      </c>
      <c r="D17" s="19" t="s">
        <v>33</v>
      </c>
      <c r="E17" s="24">
        <f ca="1">+$C$15+$C$16*E16-15018.5-$C$9/24</f>
        <v>45353.579168207769</v>
      </c>
    </row>
    <row r="18" spans="1:19" s="6" customFormat="1" ht="12.95" customHeight="1" thickTop="1" thickBot="1" x14ac:dyDescent="0.25">
      <c r="A18" s="9" t="s">
        <v>5</v>
      </c>
      <c r="C18" s="25">
        <f ca="1">+C15</f>
        <v>56257.861247635614</v>
      </c>
      <c r="D18" s="26">
        <f ca="1">+C16</f>
        <v>0.76323229818902005</v>
      </c>
      <c r="E18" s="27" t="s">
        <v>34</v>
      </c>
    </row>
    <row r="19" spans="1:19" s="6" customFormat="1" ht="12.95" customHeight="1" thickTop="1" x14ac:dyDescent="0.2">
      <c r="A19" s="28" t="s">
        <v>35</v>
      </c>
      <c r="E19" s="29">
        <v>21</v>
      </c>
      <c r="S19" s="6">
        <f ca="1">SQRT(SUM(S21:S50)/(COUNT(S21:S50)-1))</f>
        <v>2.037797685478487E-3</v>
      </c>
    </row>
    <row r="20" spans="1:19" s="6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30" t="str">
        <f>A21</f>
        <v>VSX</v>
      </c>
      <c r="I20" s="30" t="s">
        <v>53</v>
      </c>
      <c r="J20" s="30" t="s">
        <v>18</v>
      </c>
      <c r="K20" s="30" t="s">
        <v>25</v>
      </c>
      <c r="L20" s="30" t="s">
        <v>26</v>
      </c>
      <c r="M20" s="30" t="s">
        <v>27</v>
      </c>
      <c r="N20" s="30" t="s">
        <v>28</v>
      </c>
      <c r="O20" s="30" t="s">
        <v>23</v>
      </c>
      <c r="P20" s="31" t="s">
        <v>22</v>
      </c>
      <c r="Q20" s="16" t="s">
        <v>14</v>
      </c>
      <c r="R20" s="32" t="s">
        <v>36</v>
      </c>
    </row>
    <row r="21" spans="1:19" s="6" customFormat="1" ht="12.95" customHeight="1" x14ac:dyDescent="0.2">
      <c r="A21" s="6" t="str">
        <f>D7</f>
        <v>VSX</v>
      </c>
      <c r="C21" s="33">
        <f>C$7</f>
        <v>53779.645000000019</v>
      </c>
      <c r="D21" s="33" t="s">
        <v>13</v>
      </c>
      <c r="E21" s="6">
        <f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ca="1">+C$11+C$12*$F21</f>
        <v>9.7541584533451895E-4</v>
      </c>
      <c r="Q21" s="34">
        <f>+C21-15018.5</f>
        <v>38761.145000000019</v>
      </c>
      <c r="S21" s="6">
        <f ca="1">+(O21-G21)^2</f>
        <v>9.514360713296542E-7</v>
      </c>
    </row>
    <row r="22" spans="1:19" s="6" customFormat="1" ht="12.95" customHeight="1" x14ac:dyDescent="0.2">
      <c r="A22" s="4" t="s">
        <v>43</v>
      </c>
      <c r="B22" s="5" t="s">
        <v>44</v>
      </c>
      <c r="C22" s="4">
        <v>55538.8989</v>
      </c>
      <c r="D22" s="4">
        <v>4.0000000000000002E-4</v>
      </c>
      <c r="E22" s="6">
        <f>+(C22-C$7)/C$8</f>
        <v>2305.0054243008435</v>
      </c>
      <c r="F22" s="6">
        <f>ROUND(2*E22,0)/2</f>
        <v>2305</v>
      </c>
      <c r="G22" s="6">
        <f>+C22-(C$7+F22*C$8)</f>
        <v>4.1399999827262945E-3</v>
      </c>
      <c r="I22" s="6">
        <f>+G22</f>
        <v>4.1399999827262945E-3</v>
      </c>
      <c r="O22" s="6">
        <f ca="1">+C$11+C$12*$F22</f>
        <v>1.6627415365142607E-3</v>
      </c>
      <c r="Q22" s="34">
        <f>+C22-15018.5</f>
        <v>40520.3989</v>
      </c>
      <c r="S22" s="6">
        <f ca="1">+(O22-G22)^2</f>
        <v>6.1368094093288605E-6</v>
      </c>
    </row>
    <row r="23" spans="1:19" s="6" customFormat="1" ht="12.95" customHeight="1" x14ac:dyDescent="0.2">
      <c r="A23" s="35" t="s">
        <v>46</v>
      </c>
      <c r="B23" s="36" t="s">
        <v>44</v>
      </c>
      <c r="C23" s="37">
        <v>55592.3246</v>
      </c>
      <c r="D23" s="37">
        <v>2.9999999999999997E-4</v>
      </c>
      <c r="E23" s="6">
        <f>+(C23-C$7)/C$8</f>
        <v>2375.0047167833386</v>
      </c>
      <c r="F23" s="6">
        <f>ROUND(2*E23,0)/2</f>
        <v>2375</v>
      </c>
      <c r="G23" s="6">
        <f>+C23-(C$7+F23*C$8)</f>
        <v>3.5999999818159267E-3</v>
      </c>
      <c r="I23" s="6">
        <f>+G23</f>
        <v>3.5999999818159267E-3</v>
      </c>
      <c r="O23" s="6">
        <f ca="1">+C$11+C$12*$F23</f>
        <v>1.6836147679166824E-3</v>
      </c>
      <c r="Q23" s="34">
        <f>+C23-15018.5</f>
        <v>40573.8246</v>
      </c>
      <c r="S23" s="6">
        <f ca="1">+(O23-G23)^2</f>
        <v>3.6725322880516523E-6</v>
      </c>
    </row>
    <row r="24" spans="1:19" s="6" customFormat="1" ht="12.95" customHeight="1" x14ac:dyDescent="0.2">
      <c r="A24" s="4" t="s">
        <v>45</v>
      </c>
      <c r="B24" s="5" t="s">
        <v>44</v>
      </c>
      <c r="C24" s="4">
        <v>55896.850599999998</v>
      </c>
      <c r="D24" s="4">
        <v>1E-3</v>
      </c>
      <c r="E24" s="6">
        <f>+(C24-C$7)/C$8</f>
        <v>2774.0000419269359</v>
      </c>
      <c r="F24" s="6">
        <f>ROUND(2*E24,0)/2</f>
        <v>2774</v>
      </c>
      <c r="G24" s="6">
        <f>+C24-(C$7+F24*C$8)</f>
        <v>3.1999981729313731E-5</v>
      </c>
      <c r="I24" s="6">
        <f>+G24</f>
        <v>3.1999981729313731E-5</v>
      </c>
      <c r="O24" s="6">
        <f ca="1">+C$11+C$12*$F24</f>
        <v>1.8025921869104858E-3</v>
      </c>
      <c r="Q24" s="34">
        <f>+C24-15018.5</f>
        <v>40878.350599999998</v>
      </c>
      <c r="S24" s="6">
        <f ca="1">+(O24-G24)^2</f>
        <v>3.1349967570483258E-6</v>
      </c>
    </row>
    <row r="25" spans="1:19" s="6" customFormat="1" ht="12.95" customHeight="1" x14ac:dyDescent="0.2">
      <c r="A25" s="35" t="s">
        <v>47</v>
      </c>
      <c r="B25" s="36" t="s">
        <v>44</v>
      </c>
      <c r="C25" s="37">
        <v>56257.859600000003</v>
      </c>
      <c r="D25" s="37">
        <v>4.0000000000000002E-4</v>
      </c>
      <c r="E25" s="6">
        <f>+(C25-C$7)/C$8</f>
        <v>3247.0003878243897</v>
      </c>
      <c r="F25" s="6">
        <f>ROUND(2*E25,0)/2</f>
        <v>3247</v>
      </c>
      <c r="G25" s="6">
        <f>+C25-(C$7+F25*C$8)</f>
        <v>2.9599998379126191E-4</v>
      </c>
      <c r="I25" s="6">
        <f>+G25</f>
        <v>2.9599998379126191E-4</v>
      </c>
      <c r="O25" s="6">
        <f ca="1">+C$11+C$12*$F25</f>
        <v>1.9436355933868494E-3</v>
      </c>
      <c r="Q25" s="34">
        <f>+C25-15018.5</f>
        <v>41239.359600000003</v>
      </c>
      <c r="S25" s="6">
        <f ca="1">+(O25-G25)^2</f>
        <v>2.714703102007423E-6</v>
      </c>
    </row>
    <row r="26" spans="1:19" s="6" customFormat="1" ht="12.95" customHeight="1" x14ac:dyDescent="0.2">
      <c r="C26" s="33"/>
      <c r="D26" s="33"/>
      <c r="Q26" s="34"/>
    </row>
    <row r="27" spans="1:19" s="6" customFormat="1" ht="12.95" customHeight="1" x14ac:dyDescent="0.2">
      <c r="C27" s="33"/>
      <c r="D27" s="33"/>
      <c r="Q27" s="34"/>
    </row>
    <row r="28" spans="1:19" s="6" customFormat="1" ht="12.95" customHeight="1" x14ac:dyDescent="0.2">
      <c r="C28" s="33"/>
      <c r="D28" s="33"/>
      <c r="Q28" s="34"/>
    </row>
    <row r="29" spans="1:19" s="6" customFormat="1" ht="12.95" customHeight="1" x14ac:dyDescent="0.2">
      <c r="C29" s="33"/>
      <c r="D29" s="33"/>
      <c r="Q29" s="34"/>
    </row>
    <row r="30" spans="1:19" x14ac:dyDescent="0.2">
      <c r="C30" s="2"/>
      <c r="D30" s="2"/>
      <c r="Q30" s="1"/>
    </row>
    <row r="31" spans="1:19" x14ac:dyDescent="0.2">
      <c r="C31" s="2"/>
      <c r="D31" s="2"/>
      <c r="Q31" s="1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2024-03-01T05:34:17Z</dcterms:modified>
</cp:coreProperties>
</file>