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1E17102-B60C-46C3-9415-EF5A0DF53F8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C17" i="1"/>
  <c r="A21" i="1"/>
  <c r="H20" i="1"/>
  <c r="C21" i="1"/>
  <c r="E21" i="1"/>
  <c r="F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G21" i="1"/>
  <c r="H21" i="1"/>
  <c r="C11" i="1"/>
  <c r="C12" i="1"/>
  <c r="C16" i="1" l="1"/>
  <c r="D18" i="1" s="1"/>
  <c r="O21" i="1"/>
  <c r="S21" i="1" s="1"/>
  <c r="O26" i="1"/>
  <c r="S26" i="1" s="1"/>
  <c r="O23" i="1"/>
  <c r="S23" i="1" s="1"/>
  <c r="O24" i="1"/>
  <c r="S24" i="1" s="1"/>
  <c r="C15" i="1"/>
  <c r="O25" i="1"/>
  <c r="S25" i="1" s="1"/>
  <c r="O22" i="1"/>
  <c r="S22" i="1" s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<sst xmlns="http://schemas.openxmlformats.org/spreadsheetml/2006/main" count="65" uniqueCount="57">
  <si>
    <t>G4784-0830_Ori.xls</t>
  </si>
  <si>
    <t>System Type:</t>
  </si>
  <si>
    <t>EC</t>
  </si>
  <si>
    <t>Constell:</t>
  </si>
  <si>
    <t>Ori</t>
  </si>
  <si>
    <t>G4784-0830</t>
  </si>
  <si>
    <t>GCVS 4 Eph.</t>
  </si>
  <si>
    <t>not avail.</t>
  </si>
  <si>
    <t>--- Working ----</t>
  </si>
  <si>
    <t>Epoch =</t>
  </si>
  <si>
    <t>VSX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</si>
  <si>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</si>
  <si>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</si>
  <si>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</si>
  <si>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</si>
  <si>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</si>
  <si>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</si>
  <si>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</si>
  <si>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</si>
  <si>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</si>
  <si>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</si>
  <si>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</si>
  <si>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</si>
  <si>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</si>
  <si>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</si>
  <si>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</si>
  <si>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</si>
  <si>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</si>
  <si>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</si>
  <si>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</si>
  <si>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</si>
  <si>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</si>
  <si>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</si>
  <si>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</si>
  <si>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</si>
  <si>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</si>
  <si>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</si>
  <si>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</si>
  <si>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S3</t>
  </si>
  <si>
    <t>S4</t>
  </si>
  <si>
    <t>S5</t>
  </si>
  <si>
    <t>S6</t>
  </si>
  <si>
    <t>Misc</t>
  </si>
  <si>
    <t>Lin Fit</t>
  </si>
  <si>
    <t>Q. Fit</t>
  </si>
  <si>
    <t>Date</t>
  </si>
  <si>
    <t>BAD</t>
  </si>
  <si>
    <t>IBVS 5992</t>
  </si>
  <si>
    <t>II</t>
  </si>
  <si>
    <t>IBVS 6029</t>
  </si>
  <si>
    <t>I</t>
  </si>
  <si>
    <t>VSB 067</t>
  </si>
  <si>
    <t>V</t>
  </si>
  <si>
    <t>Ic</t>
  </si>
  <si>
    <t>B</t>
  </si>
  <si>
    <t>V2858 Ori / GSC 4784-0830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</si>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</sst>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1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</cellStyleXfs>
  <cellXfs count="3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2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165" fontId="7" fillId="0" borderId="0" xfId="0" applyNumberFormat="1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6" fontId="0" fillId="0" borderId="0" xfId="0" applyNumberForma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right"/>
    </xf>
  </cellXfs>
  <cellStyles count="5">
    <cellStyle name="Comma0" xfId="1"/>
    <cellStyle name="Currency0" xfId="2"/>
    <cellStyle name="Date" xfId="3"/>
    <cellStyle name="Fixed" xf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V2858 Ori - O-C Diagr.</a:t>
            </a:r>
          </a:p>
        </c:rich>
      </c:tx>
      <c:layout>
        <c:manualLayout>
          <c:xMode val="edge"/>
          <c:yMode val="edge"/>
          <c:x val="0.33432423473068834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3086237206188"/>
          <c:y val="0.22822889753688513"/>
          <c:w val="0.80832153742682122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Active!$H$21:$H$26</c:f>
              <c:numCache>
                <c:formatCode>General</c:formatCode>
                <c:ptCount val="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4D-47AB-AF60-54A90722E0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Active!$I$21:$I$26</c:f>
              <c:numCache>
                <c:formatCode>General</c:formatCode>
                <c:ptCount val="6"/>
                <c:pt idx="1">
                  <c:v>-2.2056000001612119E-2</c:v>
                </c:pt>
                <c:pt idx="2">
                  <c:v>-2.7300499998091254E-2</c:v>
                </c:pt>
                <c:pt idx="3">
                  <c:v>-3.6570999996911269E-2</c:v>
                </c:pt>
                <c:pt idx="4">
                  <c:v>-3.6070999994990416E-2</c:v>
                </c:pt>
                <c:pt idx="5">
                  <c:v>-3.5770999995293096E-2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4D-47AB-AF60-54A90722E02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Active!$J$21:$J$26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4D-47AB-AF60-54A90722E02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Active!$K$21:$K$26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4D-47AB-AF60-54A90722E02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Active!$L$21:$L$26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4D-47AB-AF60-54A90722E0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Active!$M$21:$M$26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4D-47AB-AF60-54A90722E0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Active!$N$21:$N$26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4D-47AB-AF60-54A90722E0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Active!$O$21:$O$26</c:f>
              <c:numCache>
                <c:formatCode>General</c:formatCode>
                <c:ptCount val="6"/>
                <c:pt idx="0">
                  <c:v>-9.7931771184973128E-3</c:v>
                </c:pt>
                <c:pt idx="1">
                  <c:v>-2.3839556939191951E-2</c:v>
                </c:pt>
                <c:pt idx="2">
                  <c:v>-2.5281707136038011E-2</c:v>
                </c:pt>
                <c:pt idx="3">
                  <c:v>-3.6216078637222732E-2</c:v>
                </c:pt>
                <c:pt idx="4">
                  <c:v>-3.6216078637222732E-2</c:v>
                </c:pt>
                <c:pt idx="5">
                  <c:v>-3.6216078637222732E-2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4D-47AB-AF60-54A90722E0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11196</c:v>
                </c:pt>
                <c:pt idx="2">
                  <c:v>12345.5</c:v>
                </c:pt>
                <c:pt idx="3">
                  <c:v>21061</c:v>
                </c:pt>
                <c:pt idx="4">
                  <c:v>21061</c:v>
                </c:pt>
                <c:pt idx="5">
                  <c:v>21061</c:v>
                </c:pt>
              </c:numCache>
            </c:numRef>
          </c:xVal>
          <c:yVal>
            <c:numRef>
              <c:f>Active!$R$21:$R$26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4D-47AB-AF60-54A90722E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962168"/>
        <c:axId val="1"/>
      </c:scatterChart>
      <c:valAx>
        <c:axId val="67096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456314617433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962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276390042626542"/>
          <c:y val="0.91591875339906836"/>
          <c:w val="0.7251119093025705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A06B472-A7EF-E520-64A5-B93891BCA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55</v>
      </c>
      <c r="E1" s="1" t="s">
        <v>0</v>
      </c>
    </row>
    <row r="2" spans="1:7" ht="12.95" customHeight="1" x14ac:dyDescent="0.2">
      <c r="A2" s="1" t="s">
        <v>1</v>
      </c>
      <c r="B2" s="1" t="s">
        <v>2</v>
      </c>
      <c r="C2" s="3" t="s">
        <v>3</v>
      </c>
      <c r="D2" s="4" t="s">
        <v>4</v>
      </c>
      <c r="E2" s="5" t="s">
        <v>5</v>
      </c>
      <c r="F2" s="1" t="e">
        <v>#N/A</v>
      </c>
    </row>
    <row r="3" spans="1:7" ht="12.95" customHeight="1" x14ac:dyDescent="0.2"/>
    <row r="4" spans="1:7" ht="12.95" customHeight="1" x14ac:dyDescent="0.2">
      <c r="A4" s="6" t="s">
        <v>6</v>
      </c>
      <c r="C4" s="7" t="s">
        <v>7</v>
      </c>
      <c r="D4" s="8" t="s">
        <v>7</v>
      </c>
    </row>
    <row r="5" spans="1:7" ht="12.95" customHeight="1" x14ac:dyDescent="0.2"/>
    <row r="6" spans="1:7" ht="12.95" customHeight="1" x14ac:dyDescent="0.2">
      <c r="A6" s="6" t="s">
        <v>8</v>
      </c>
    </row>
    <row r="7" spans="1:7" ht="12.95" customHeight="1" x14ac:dyDescent="0.2">
      <c r="A7" s="1" t="s">
        <v>9</v>
      </c>
      <c r="C7" s="34">
        <v>51869.25</v>
      </c>
      <c r="D7" s="10" t="s">
        <v>10</v>
      </c>
    </row>
    <row r="8" spans="1:7" ht="12.95" customHeight="1" x14ac:dyDescent="0.2">
      <c r="A8" s="1" t="s">
        <v>11</v>
      </c>
      <c r="C8" s="34">
        <v>0.33141100000000001</v>
      </c>
      <c r="D8" s="10" t="s">
        <v>10</v>
      </c>
    </row>
    <row r="9" spans="1:7" ht="12.95" customHeight="1" x14ac:dyDescent="0.2">
      <c r="A9" s="11" t="s">
        <v>12</v>
      </c>
      <c r="B9"/>
      <c r="C9" s="12">
        <v>-9.5</v>
      </c>
      <c r="D9" t="s">
        <v>13</v>
      </c>
      <c r="E9"/>
    </row>
    <row r="10" spans="1:7" ht="12.95" customHeight="1" x14ac:dyDescent="0.2">
      <c r="A10"/>
      <c r="B10"/>
      <c r="C10" s="13" t="s">
        <v>14</v>
      </c>
      <c r="D10" s="13" t="s">
        <v>15</v>
      </c>
      <c r="E10"/>
    </row>
    <row r="11" spans="1:7" ht="12.95" customHeight="1" x14ac:dyDescent="0.2">
      <c r="A11" t="s">
        <v>16</v>
      </c>
      <c r="B11"/>
      <c r="C11" s="14">
        <f ca="1">INTERCEPT(INDIRECT($G$11):G992,INDIRECT($F$11):F992)</f>
        <v>-9.7931771184973128E-3</v>
      </c>
      <c r="D11" s="4"/>
      <c r="E11"/>
      <c r="F11" s="15" t="str">
        <f>"F"&amp;E19</f>
        <v>F22</v>
      </c>
      <c r="G11" s="16" t="str">
        <f>"G"&amp;E19</f>
        <v>G22</v>
      </c>
    </row>
    <row r="12" spans="1:7" ht="12.95" customHeight="1" x14ac:dyDescent="0.2">
      <c r="A12" t="s">
        <v>17</v>
      </c>
      <c r="B12"/>
      <c r="C12" s="14">
        <f ca="1">SLOPE(INDIRECT($G$11):G992,INDIRECT($F$11):F992)</f>
        <v>-1.2545891229630796E-6</v>
      </c>
      <c r="D12" s="4"/>
      <c r="E12"/>
    </row>
    <row r="13" spans="1:7" ht="12.95" customHeight="1" x14ac:dyDescent="0.2">
      <c r="A13" t="s">
        <v>18</v>
      </c>
      <c r="B13"/>
      <c r="C13" s="4" t="s">
        <v>19</v>
      </c>
      <c r="D13" s="17" t="s">
        <v>20</v>
      </c>
      <c r="E13" s="12">
        <v>1</v>
      </c>
    </row>
    <row r="14" spans="1:7" ht="12.95" customHeight="1" x14ac:dyDescent="0.2">
      <c r="A14"/>
      <c r="B14"/>
      <c r="C14"/>
      <c r="D14" s="17" t="s">
        <v>21</v>
      </c>
      <c r="E14" s="14">
        <f ca="1">NOW()+15018.5+$C$9/24</f>
        <v>60370.779851041661</v>
      </c>
    </row>
    <row r="15" spans="1:7" ht="12.95" customHeight="1" x14ac:dyDescent="0.2">
      <c r="A15" s="18" t="s">
        <v>22</v>
      </c>
      <c r="B15"/>
      <c r="C15" s="19">
        <f ca="1">(C7+C11)+(C8+C12)*INT(MAX(F21:F3533))</f>
        <v>58849.060854921365</v>
      </c>
      <c r="D15" s="17" t="s">
        <v>23</v>
      </c>
      <c r="E15" s="14">
        <f ca="1">ROUND(2*(E14-$C$7)/$C$8,0)/2+E13</f>
        <v>25653.5</v>
      </c>
    </row>
    <row r="16" spans="1:7" ht="12.95" customHeight="1" x14ac:dyDescent="0.2">
      <c r="A16" s="18" t="s">
        <v>24</v>
      </c>
      <c r="B16"/>
      <c r="C16" s="19">
        <f ca="1">+C8+C12</f>
        <v>0.33140974541087703</v>
      </c>
      <c r="D16" s="17" t="s">
        <v>25</v>
      </c>
      <c r="E16" s="16">
        <f ca="1">ROUND(2*(E14-$C$15)/$C$16,0)/2+E13</f>
        <v>4592.5</v>
      </c>
    </row>
    <row r="17" spans="1:19" ht="12.95" customHeight="1" x14ac:dyDescent="0.2">
      <c r="A17" s="17" t="s">
        <v>26</v>
      </c>
      <c r="B17"/>
      <c r="C17">
        <f>COUNT(C21:C2191)</f>
        <v>6</v>
      </c>
      <c r="D17" s="17" t="s">
        <v>27</v>
      </c>
      <c r="E17" s="20">
        <f ca="1">+$C$15+$C$16*E16-15018.5-$C$9/24</f>
        <v>45352.955944054156</v>
      </c>
    </row>
    <row r="18" spans="1:19" ht="12.95" customHeight="1" x14ac:dyDescent="0.2">
      <c r="A18" s="18" t="s">
        <v>28</v>
      </c>
      <c r="B18"/>
      <c r="C18" s="21">
        <f ca="1">+C15</f>
        <v>58849.060854921365</v>
      </c>
      <c r="D18" s="22">
        <f ca="1">+C16</f>
        <v>0.33140974541087703</v>
      </c>
      <c r="E18" s="23" t="s">
        <v>29</v>
      </c>
    </row>
    <row r="19" spans="1:19" ht="12.95" customHeight="1" x14ac:dyDescent="0.2">
      <c r="A19" s="24" t="s">
        <v>30</v>
      </c>
      <c r="E19" s="25">
        <v>22</v>
      </c>
      <c r="S19" s="1">
        <f ca="1">SQRT(SUM(S21:S50)/(COUNT(S21:S50)-1))</f>
        <v>4.5499017577354936E-3</v>
      </c>
    </row>
    <row r="20" spans="1:19" ht="12.95" customHeight="1" x14ac:dyDescent="0.2">
      <c r="A20" s="13" t="s">
        <v>31</v>
      </c>
      <c r="B20" s="13" t="s">
        <v>32</v>
      </c>
      <c r="C20" s="13" t="s">
        <v>33</v>
      </c>
      <c r="D20" s="13" t="s">
        <v>34</v>
      </c>
      <c r="E20" s="13" t="s">
        <v>35</v>
      </c>
      <c r="F20" s="13" t="s">
        <v>36</v>
      </c>
      <c r="G20" s="13" t="s">
        <v>37</v>
      </c>
      <c r="H20" s="26" t="str">
        <f>A21</f>
        <v>VSX</v>
      </c>
      <c r="I20" s="26" t="s">
        <v>56</v>
      </c>
      <c r="J20" s="26" t="s">
        <v>38</v>
      </c>
      <c r="K20" s="26" t="s">
        <v>39</v>
      </c>
      <c r="L20" s="26" t="s">
        <v>40</v>
      </c>
      <c r="M20" s="26" t="s">
        <v>41</v>
      </c>
      <c r="N20" s="26" t="s">
        <v>42</v>
      </c>
      <c r="O20" s="26" t="s">
        <v>43</v>
      </c>
      <c r="P20" s="26" t="s">
        <v>44</v>
      </c>
      <c r="Q20" s="13" t="s">
        <v>45</v>
      </c>
      <c r="R20" s="27" t="s">
        <v>46</v>
      </c>
    </row>
    <row r="21" spans="1:19" ht="12.95" customHeight="1" x14ac:dyDescent="0.2">
      <c r="A21" s="1" t="str">
        <f>D7</f>
        <v>VSX</v>
      </c>
      <c r="C21" s="9">
        <f>C$7</f>
        <v>51869.25</v>
      </c>
      <c r="D21" s="9" t="s">
        <v>19</v>
      </c>
      <c r="E21" s="1">
        <f t="shared" ref="E21:E26" si="0">+(C21-C$7)/C$8</f>
        <v>0</v>
      </c>
      <c r="F21" s="1">
        <f t="shared" ref="F21:F26" si="1">ROUND(2*E21,0)/2</f>
        <v>0</v>
      </c>
      <c r="G21" s="1">
        <f t="shared" ref="G21:G26" si="2">+C21-(C$7+F21*C$8)</f>
        <v>0</v>
      </c>
      <c r="H21" s="1">
        <f>+G21</f>
        <v>0</v>
      </c>
      <c r="O21" s="1">
        <f t="shared" ref="O21:O26" ca="1" si="3">+C$11+C$12*$F21</f>
        <v>-9.7931771184973128E-3</v>
      </c>
      <c r="Q21" s="28">
        <f t="shared" ref="Q21:Q26" si="4">+C21-15018.5</f>
        <v>36850.75</v>
      </c>
      <c r="S21" s="1">
        <f t="shared" ref="S21:S26" ca="1" si="5">+(O21-G21)^2</f>
        <v>9.5906318074259327E-5</v>
      </c>
    </row>
    <row r="22" spans="1:19" ht="12.95" customHeight="1" x14ac:dyDescent="0.2">
      <c r="A22" s="29" t="s">
        <v>47</v>
      </c>
      <c r="B22" s="30" t="s">
        <v>48</v>
      </c>
      <c r="C22" s="29">
        <v>55579.705499999996</v>
      </c>
      <c r="D22" s="29">
        <v>5.0000000000000001E-4</v>
      </c>
      <c r="E22" s="1">
        <f t="shared" si="0"/>
        <v>11195.933448195734</v>
      </c>
      <c r="F22" s="1">
        <f t="shared" si="1"/>
        <v>11196</v>
      </c>
      <c r="G22" s="1">
        <f t="shared" si="2"/>
        <v>-2.2056000001612119E-2</v>
      </c>
      <c r="I22" s="1">
        <f>+G22</f>
        <v>-2.2056000001612119E-2</v>
      </c>
      <c r="O22" s="1">
        <f t="shared" ca="1" si="3"/>
        <v>-2.3839556939191951E-2</v>
      </c>
      <c r="Q22" s="28">
        <f t="shared" si="4"/>
        <v>40561.205499999996</v>
      </c>
      <c r="S22" s="1">
        <f t="shared" ca="1" si="5"/>
        <v>3.1810753495891484E-6</v>
      </c>
    </row>
    <row r="23" spans="1:19" ht="12.95" customHeight="1" x14ac:dyDescent="0.2">
      <c r="A23" s="31" t="s">
        <v>49</v>
      </c>
      <c r="B23" s="32" t="s">
        <v>50</v>
      </c>
      <c r="C23" s="31">
        <v>55960.657200000001</v>
      </c>
      <c r="D23" s="31">
        <v>5.0000000000000001E-4</v>
      </c>
      <c r="E23" s="1">
        <f t="shared" si="0"/>
        <v>12345.41762343435</v>
      </c>
      <c r="F23" s="1">
        <f t="shared" si="1"/>
        <v>12345.5</v>
      </c>
      <c r="G23" s="1">
        <f t="shared" si="2"/>
        <v>-2.7300499998091254E-2</v>
      </c>
      <c r="I23" s="1">
        <f>+G23</f>
        <v>-2.7300499998091254E-2</v>
      </c>
      <c r="O23" s="1">
        <f t="shared" ca="1" si="3"/>
        <v>-2.5281707136038011E-2</v>
      </c>
      <c r="Q23" s="28">
        <f t="shared" si="4"/>
        <v>40942.157200000001</v>
      </c>
      <c r="S23" s="1">
        <f t="shared" ca="1" si="5"/>
        <v>4.0755246198771253E-6</v>
      </c>
    </row>
    <row r="24" spans="1:19" ht="12.95" customHeight="1" x14ac:dyDescent="0.2">
      <c r="A24" s="33" t="s">
        <v>51</v>
      </c>
      <c r="B24" s="32" t="s">
        <v>48</v>
      </c>
      <c r="C24" s="31">
        <v>58849.0605</v>
      </c>
      <c r="D24" s="31" t="s">
        <v>52</v>
      </c>
      <c r="E24" s="1">
        <f t="shared" si="0"/>
        <v>21060.889650615096</v>
      </c>
      <c r="F24" s="1">
        <f t="shared" si="1"/>
        <v>21061</v>
      </c>
      <c r="G24" s="1">
        <f t="shared" si="2"/>
        <v>-3.6570999996911269E-2</v>
      </c>
      <c r="I24" s="1">
        <f>+G24</f>
        <v>-3.6570999996911269E-2</v>
      </c>
      <c r="O24" s="1">
        <f t="shared" ca="1" si="3"/>
        <v>-3.6216078637222732E-2</v>
      </c>
      <c r="Q24" s="28">
        <f t="shared" si="4"/>
        <v>43830.5605</v>
      </c>
      <c r="S24" s="1">
        <f t="shared" ca="1" si="5"/>
        <v>1.2596917156315985E-7</v>
      </c>
    </row>
    <row r="25" spans="1:19" ht="12.95" customHeight="1" x14ac:dyDescent="0.2">
      <c r="A25" s="33" t="s">
        <v>51</v>
      </c>
      <c r="B25" s="32" t="s">
        <v>48</v>
      </c>
      <c r="C25" s="31">
        <v>58849.061000000002</v>
      </c>
      <c r="D25" s="31" t="s">
        <v>53</v>
      </c>
      <c r="E25" s="1">
        <f t="shared" si="0"/>
        <v>21060.891159315779</v>
      </c>
      <c r="F25" s="1">
        <f t="shared" si="1"/>
        <v>21061</v>
      </c>
      <c r="G25" s="1">
        <f t="shared" si="2"/>
        <v>-3.6070999994990416E-2</v>
      </c>
      <c r="I25" s="1">
        <f>+G25</f>
        <v>-3.6070999994990416E-2</v>
      </c>
      <c r="O25" s="1">
        <f t="shared" ca="1" si="3"/>
        <v>-3.6216078637222732E-2</v>
      </c>
      <c r="Q25" s="28">
        <f t="shared" si="4"/>
        <v>43830.561000000002</v>
      </c>
      <c r="S25" s="1">
        <f t="shared" ca="1" si="5"/>
        <v>2.1047812431972288E-8</v>
      </c>
    </row>
    <row r="26" spans="1:19" ht="12.95" customHeight="1" x14ac:dyDescent="0.2">
      <c r="A26" s="33" t="s">
        <v>51</v>
      </c>
      <c r="B26" s="32" t="s">
        <v>48</v>
      </c>
      <c r="C26" s="31">
        <v>58849.061300000001</v>
      </c>
      <c r="D26" s="31" t="s">
        <v>54</v>
      </c>
      <c r="E26" s="1">
        <f t="shared" si="0"/>
        <v>21060.892064536183</v>
      </c>
      <c r="F26" s="1">
        <f t="shared" si="1"/>
        <v>21061</v>
      </c>
      <c r="G26" s="1">
        <f t="shared" si="2"/>
        <v>-3.5770999995293096E-2</v>
      </c>
      <c r="I26" s="1">
        <f>+G26</f>
        <v>-3.5770999995293096E-2</v>
      </c>
      <c r="O26" s="1">
        <f t="shared" ca="1" si="3"/>
        <v>-3.6216078637222732E-2</v>
      </c>
      <c r="Q26" s="28">
        <f t="shared" si="4"/>
        <v>43830.561300000001</v>
      </c>
      <c r="S26" s="1">
        <f t="shared" ca="1" si="5"/>
        <v>1.9809499750192911E-7</v>
      </c>
    </row>
    <row r="27" spans="1:19" ht="12.95" customHeight="1" x14ac:dyDescent="0.2"/>
    <row r="28" spans="1:19" ht="12.95" customHeight="1" x14ac:dyDescent="0.2"/>
    <row r="29" spans="1:19" ht="12.95" customHeight="1" x14ac:dyDescent="0.2"/>
    <row r="30" spans="1:19" ht="12.95" customHeight="1" x14ac:dyDescent="0.2"/>
    <row r="31" spans="1:19" ht="12.95" customHeight="1" x14ac:dyDescent="0.2"/>
    <row r="32" spans="1:19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2024-03-01T05:42:59Z</dcterms:created>
  <dcterms:modified xsi:type="dcterms:W3CDTF">2024-03-01T05:42:59Z</dcterms:modified>
</cp:coreProperties>
</file>