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B26C743-EF95-4897-A054-AA801EEE48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71" i="2" l="1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G14" i="3"/>
  <c r="C14" i="3"/>
  <c r="G13" i="3"/>
  <c r="C13" i="3"/>
  <c r="G12" i="3"/>
  <c r="C12" i="3"/>
  <c r="E12" i="3"/>
  <c r="G11" i="3"/>
  <c r="C11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Q77" i="2"/>
  <c r="E77" i="2"/>
  <c r="F77" i="2"/>
  <c r="G77" i="2"/>
  <c r="I77" i="2"/>
  <c r="F11" i="2"/>
  <c r="G11" i="2"/>
  <c r="Q76" i="2"/>
  <c r="E14" i="2"/>
  <c r="E15" i="2" s="1"/>
  <c r="E73" i="2"/>
  <c r="F73" i="2"/>
  <c r="G73" i="2"/>
  <c r="E74" i="2"/>
  <c r="F74" i="2"/>
  <c r="E75" i="2"/>
  <c r="F75" i="2"/>
  <c r="G75" i="2"/>
  <c r="J75" i="2"/>
  <c r="C7" i="2"/>
  <c r="E26" i="2"/>
  <c r="F26" i="2"/>
  <c r="G74" i="2"/>
  <c r="I74" i="2"/>
  <c r="Q72" i="2"/>
  <c r="I73" i="2"/>
  <c r="Q73" i="2"/>
  <c r="Q74" i="2"/>
  <c r="Q75" i="2"/>
  <c r="E23" i="1"/>
  <c r="F23" i="1"/>
  <c r="G23" i="1"/>
  <c r="I23" i="1"/>
  <c r="G11" i="1"/>
  <c r="F11" i="1"/>
  <c r="Q25" i="1"/>
  <c r="Q23" i="1"/>
  <c r="Q24" i="1"/>
  <c r="C21" i="1"/>
  <c r="E15" i="1"/>
  <c r="C17" i="1"/>
  <c r="Q22" i="1"/>
  <c r="C8" i="1"/>
  <c r="E22" i="1"/>
  <c r="F22" i="1"/>
  <c r="C7" i="1"/>
  <c r="Q21" i="1"/>
  <c r="E28" i="2"/>
  <c r="F28" i="2"/>
  <c r="G28" i="2"/>
  <c r="H28" i="2"/>
  <c r="E14" i="3"/>
  <c r="C17" i="2"/>
  <c r="Q28" i="2"/>
  <c r="E37" i="3"/>
  <c r="E45" i="3"/>
  <c r="G22" i="1"/>
  <c r="E25" i="1"/>
  <c r="F25" i="1"/>
  <c r="G25" i="1"/>
  <c r="I25" i="1"/>
  <c r="E17" i="3"/>
  <c r="E21" i="1"/>
  <c r="F21" i="1"/>
  <c r="G21" i="1"/>
  <c r="H21" i="1"/>
  <c r="E24" i="1"/>
  <c r="F24" i="1"/>
  <c r="G24" i="1"/>
  <c r="I24" i="1"/>
  <c r="E19" i="3"/>
  <c r="E20" i="3"/>
  <c r="E64" i="2"/>
  <c r="E56" i="2"/>
  <c r="E48" i="2"/>
  <c r="E40" i="2"/>
  <c r="E32" i="2"/>
  <c r="E23" i="2"/>
  <c r="F23" i="2"/>
  <c r="E69" i="2"/>
  <c r="E61" i="2"/>
  <c r="E53" i="2"/>
  <c r="E45" i="2"/>
  <c r="E37" i="2"/>
  <c r="E29" i="2"/>
  <c r="E66" i="2"/>
  <c r="E58" i="2"/>
  <c r="E50" i="2"/>
  <c r="E42" i="2"/>
  <c r="E34" i="2"/>
  <c r="E25" i="2"/>
  <c r="F25" i="2"/>
  <c r="G25" i="2"/>
  <c r="K25" i="2"/>
  <c r="E71" i="2"/>
  <c r="E63" i="2"/>
  <c r="E55" i="2"/>
  <c r="E47" i="2"/>
  <c r="E39" i="2"/>
  <c r="E31" i="2"/>
  <c r="E22" i="2"/>
  <c r="F22" i="2"/>
  <c r="G22" i="2"/>
  <c r="K22" i="2"/>
  <c r="E72" i="2"/>
  <c r="E76" i="2"/>
  <c r="F76" i="2"/>
  <c r="G76" i="2"/>
  <c r="J76" i="2"/>
  <c r="E68" i="2"/>
  <c r="F68" i="2"/>
  <c r="G68" i="2"/>
  <c r="K68" i="2"/>
  <c r="E60" i="2"/>
  <c r="F60" i="2"/>
  <c r="G60" i="2"/>
  <c r="K60" i="2"/>
  <c r="E52" i="2"/>
  <c r="F52" i="2"/>
  <c r="G52" i="2"/>
  <c r="K52" i="2"/>
  <c r="E44" i="2"/>
  <c r="F44" i="2"/>
  <c r="G44" i="2"/>
  <c r="K44" i="2"/>
  <c r="E36" i="2"/>
  <c r="F36" i="2"/>
  <c r="G36" i="2"/>
  <c r="K36" i="2"/>
  <c r="E27" i="2"/>
  <c r="F27" i="2"/>
  <c r="G27" i="2"/>
  <c r="K27" i="2"/>
  <c r="E65" i="2"/>
  <c r="E57" i="2"/>
  <c r="E49" i="2"/>
  <c r="E41" i="2"/>
  <c r="E33" i="2"/>
  <c r="G26" i="2"/>
  <c r="K26" i="2"/>
  <c r="E24" i="2"/>
  <c r="F24" i="2"/>
  <c r="G24" i="2"/>
  <c r="K24" i="2"/>
  <c r="E70" i="2"/>
  <c r="E62" i="2"/>
  <c r="E54" i="2"/>
  <c r="E46" i="2"/>
  <c r="E38" i="2"/>
  <c r="E30" i="2"/>
  <c r="G23" i="2"/>
  <c r="K23" i="2"/>
  <c r="E21" i="2"/>
  <c r="F21" i="2"/>
  <c r="G21" i="2"/>
  <c r="E67" i="2"/>
  <c r="E59" i="2"/>
  <c r="E51" i="2"/>
  <c r="E43" i="2"/>
  <c r="E35" i="2"/>
  <c r="K21" i="2"/>
  <c r="F55" i="2"/>
  <c r="G55" i="2"/>
  <c r="K55" i="2"/>
  <c r="E48" i="3"/>
  <c r="F53" i="2"/>
  <c r="G53" i="2"/>
  <c r="K53" i="2"/>
  <c r="E46" i="3"/>
  <c r="F32" i="2"/>
  <c r="G32" i="2"/>
  <c r="K32" i="2"/>
  <c r="E25" i="3"/>
  <c r="F64" i="2"/>
  <c r="G64" i="2"/>
  <c r="K64" i="2"/>
  <c r="E57" i="3"/>
  <c r="F51" i="2"/>
  <c r="G51" i="2"/>
  <c r="K51" i="2"/>
  <c r="E44" i="3"/>
  <c r="F30" i="2"/>
  <c r="G30" i="2"/>
  <c r="K30" i="2"/>
  <c r="E23" i="3"/>
  <c r="F31" i="2"/>
  <c r="G31" i="2"/>
  <c r="K31" i="2"/>
  <c r="E24" i="3"/>
  <c r="F63" i="2"/>
  <c r="G63" i="2"/>
  <c r="K63" i="2"/>
  <c r="E56" i="3"/>
  <c r="F29" i="2"/>
  <c r="G29" i="2"/>
  <c r="E22" i="3"/>
  <c r="F61" i="2"/>
  <c r="G61" i="2"/>
  <c r="K61" i="2"/>
  <c r="E54" i="3"/>
  <c r="F40" i="2"/>
  <c r="G40" i="2"/>
  <c r="K40" i="2"/>
  <c r="E33" i="3"/>
  <c r="E61" i="3"/>
  <c r="E29" i="3"/>
  <c r="F49" i="2"/>
  <c r="G49" i="2"/>
  <c r="K49" i="2"/>
  <c r="E42" i="3"/>
  <c r="F50" i="2"/>
  <c r="G50" i="2"/>
  <c r="K50" i="2"/>
  <c r="E43" i="3"/>
  <c r="E21" i="3"/>
  <c r="E18" i="3"/>
  <c r="F38" i="2"/>
  <c r="G38" i="2"/>
  <c r="K38" i="2"/>
  <c r="E31" i="3"/>
  <c r="F39" i="2"/>
  <c r="G39" i="2"/>
  <c r="K39" i="2"/>
  <c r="E32" i="3"/>
  <c r="F71" i="2"/>
  <c r="G71" i="2"/>
  <c r="K71" i="2"/>
  <c r="E64" i="3"/>
  <c r="F37" i="2"/>
  <c r="G37" i="2"/>
  <c r="K37" i="2"/>
  <c r="E30" i="3"/>
  <c r="F69" i="2"/>
  <c r="G69" i="2"/>
  <c r="K69" i="2"/>
  <c r="E62" i="3"/>
  <c r="F48" i="2"/>
  <c r="G48" i="2"/>
  <c r="K48" i="2"/>
  <c r="E41" i="3"/>
  <c r="E16" i="3"/>
  <c r="F70" i="2"/>
  <c r="G70" i="2"/>
  <c r="K70" i="2"/>
  <c r="E63" i="3"/>
  <c r="F59" i="2"/>
  <c r="G59" i="2"/>
  <c r="K59" i="2"/>
  <c r="E52" i="3"/>
  <c r="F57" i="2"/>
  <c r="G57" i="2"/>
  <c r="K57" i="2"/>
  <c r="E50" i="3"/>
  <c r="F58" i="2"/>
  <c r="G58" i="2"/>
  <c r="K58" i="2"/>
  <c r="E51" i="3"/>
  <c r="E15" i="3"/>
  <c r="F35" i="2"/>
  <c r="G35" i="2"/>
  <c r="K35" i="2"/>
  <c r="E28" i="3"/>
  <c r="F67" i="2"/>
  <c r="G67" i="2"/>
  <c r="K67" i="2"/>
  <c r="E60" i="3"/>
  <c r="F46" i="2"/>
  <c r="G46" i="2"/>
  <c r="K46" i="2"/>
  <c r="E39" i="3"/>
  <c r="F47" i="2"/>
  <c r="G47" i="2"/>
  <c r="K47" i="2"/>
  <c r="E40" i="3"/>
  <c r="F45" i="2"/>
  <c r="G45" i="2"/>
  <c r="K45" i="2"/>
  <c r="E38" i="3"/>
  <c r="F56" i="2"/>
  <c r="G56" i="2"/>
  <c r="K56" i="2"/>
  <c r="E49" i="3"/>
  <c r="E13" i="3"/>
  <c r="I22" i="1"/>
  <c r="F33" i="2"/>
  <c r="G33" i="2"/>
  <c r="K33" i="2"/>
  <c r="E26" i="3"/>
  <c r="F65" i="2"/>
  <c r="G65" i="2"/>
  <c r="K65" i="2"/>
  <c r="E58" i="3"/>
  <c r="E11" i="3"/>
  <c r="F72" i="2"/>
  <c r="G72" i="2"/>
  <c r="I72" i="2"/>
  <c r="F34" i="2"/>
  <c r="G34" i="2"/>
  <c r="K34" i="2"/>
  <c r="E27" i="3"/>
  <c r="F66" i="2"/>
  <c r="G66" i="2"/>
  <c r="K66" i="2"/>
  <c r="E59" i="3"/>
  <c r="E53" i="3"/>
  <c r="F54" i="2"/>
  <c r="G54" i="2"/>
  <c r="K54" i="2"/>
  <c r="E47" i="3"/>
  <c r="F43" i="2"/>
  <c r="G43" i="2"/>
  <c r="K43" i="2"/>
  <c r="E36" i="3"/>
  <c r="F41" i="2"/>
  <c r="G41" i="2"/>
  <c r="K41" i="2"/>
  <c r="E34" i="3"/>
  <c r="F42" i="2"/>
  <c r="G42" i="2"/>
  <c r="K42" i="2"/>
  <c r="E35" i="3"/>
  <c r="F62" i="2"/>
  <c r="G62" i="2"/>
  <c r="K62" i="2"/>
  <c r="E55" i="3"/>
  <c r="K29" i="2"/>
  <c r="C12" i="2"/>
  <c r="C11" i="2"/>
  <c r="C12" i="1"/>
  <c r="C11" i="1"/>
  <c r="O22" i="1" l="1"/>
  <c r="C15" i="1"/>
  <c r="O24" i="1"/>
  <c r="O25" i="1"/>
  <c r="O23" i="1"/>
  <c r="O21" i="1"/>
  <c r="C16" i="1"/>
  <c r="D18" i="1" s="1"/>
  <c r="O70" i="2"/>
  <c r="O60" i="2"/>
  <c r="O73" i="2"/>
  <c r="O37" i="2"/>
  <c r="O66" i="2"/>
  <c r="O55" i="2"/>
  <c r="O32" i="2"/>
  <c r="O59" i="2"/>
  <c r="O62" i="2"/>
  <c r="O71" i="2"/>
  <c r="O45" i="2"/>
  <c r="O63" i="2"/>
  <c r="O65" i="2"/>
  <c r="O61" i="2"/>
  <c r="C15" i="2"/>
  <c r="O52" i="2"/>
  <c r="O25" i="2"/>
  <c r="O22" i="2"/>
  <c r="O26" i="2"/>
  <c r="O33" i="2"/>
  <c r="O35" i="2"/>
  <c r="O54" i="2"/>
  <c r="O44" i="2"/>
  <c r="O49" i="2"/>
  <c r="O67" i="2"/>
  <c r="O34" i="2"/>
  <c r="O75" i="2"/>
  <c r="O51" i="2"/>
  <c r="O46" i="2"/>
  <c r="O36" i="2"/>
  <c r="O57" i="2"/>
  <c r="O23" i="2"/>
  <c r="O43" i="2"/>
  <c r="O41" i="2"/>
  <c r="O74" i="2"/>
  <c r="O31" i="2"/>
  <c r="O30" i="2"/>
  <c r="O64" i="2"/>
  <c r="O39" i="2"/>
  <c r="O69" i="2"/>
  <c r="O38" i="2"/>
  <c r="O27" i="2"/>
  <c r="O47" i="2"/>
  <c r="O28" i="2"/>
  <c r="O21" i="2"/>
  <c r="O50" i="2"/>
  <c r="O58" i="2"/>
  <c r="O24" i="2"/>
  <c r="O56" i="2"/>
  <c r="O53" i="2"/>
  <c r="O72" i="2"/>
  <c r="O29" i="2"/>
  <c r="O77" i="2"/>
  <c r="O42" i="2"/>
  <c r="O68" i="2"/>
  <c r="O48" i="2"/>
  <c r="O76" i="2"/>
  <c r="O40" i="2"/>
  <c r="C16" i="2"/>
  <c r="D18" i="2" s="1"/>
  <c r="C18" i="2" l="1"/>
  <c r="E16" i="2"/>
  <c r="E17" i="2" s="1"/>
  <c r="E16" i="1"/>
  <c r="E17" i="1" s="1"/>
  <c r="C18" i="1"/>
</calcChain>
</file>

<file path=xl/sharedStrings.xml><?xml version="1.0" encoding="utf-8"?>
<sst xmlns="http://schemas.openxmlformats.org/spreadsheetml/2006/main" count="599" uniqueCount="263">
  <si>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</si>
  <si>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</si>
  <si>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</si>
  <si>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</si>
  <si>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</si>
  <si>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</si>
  <si>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</si>
  <si>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</si>
  <si>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</si>
  <si>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</si>
  <si>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</si>
  <si>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</si>
  <si>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</si>
  <si>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</si>
  <si>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</si>
  <si>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</si>
  <si>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</si>
  <si>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</si>
  <si>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</si>
  <si>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</si>
  <si>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</si>
  <si>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</si>
  <si>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</si>
  <si>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</si>
  <si>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</si>
  <si>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</si>
  <si>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</si>
  <si>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</si>
  <si>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</si>
  <si>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</si>
  <si>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</si>
  <si>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Z Ori / GSC 0728-1172</t>
  </si>
  <si>
    <t>EA/DS</t>
  </si>
  <si>
    <t>OEJV 28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</si>
  <si>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</si>
  <si>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</si>
  <si>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</si>
  <si>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</si>
  <si>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</si>
  <si>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</si>
  <si>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</si>
  <si>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</si>
  <si>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</si>
  <si>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II</t>
  </si>
  <si>
    <t>IBVS 5874</t>
  </si>
  <si>
    <t>I</t>
  </si>
  <si>
    <t>OEJV 0028</t>
  </si>
  <si>
    <t>IBVS 6007</t>
  </si>
  <si>
    <t>Add cycle</t>
  </si>
  <si>
    <t>Old Cycle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</si>
  <si>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</si>
  <si>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</si>
  <si>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</si>
  <si>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</si>
  <si>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</si>
  <si>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</si>
  <si>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</si>
  <si>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</si>
  <si>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</si>
  <si>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</si>
  <si>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</si>
  <si>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</si>
  <si>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</si>
  <si>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2418270.392 </t>
  </si>
  <si>
    <t> 24.11.1908 21:24 </t>
  </si>
  <si>
    <t> 0.014 </t>
  </si>
  <si>
    <t>V </t>
  </si>
  <si>
    <t> M.Luizet </t>
  </si>
  <si>
    <t> AN 195.126 </t>
  </si>
  <si>
    <t>2418603.410 </t>
  </si>
  <si>
    <t> 23.10.1909 21:50 </t>
  </si>
  <si>
    <t> 0.023 </t>
  </si>
  <si>
    <t>2418780.324 </t>
  </si>
  <si>
    <t> 18.04.1910 19:46 </t>
  </si>
  <si>
    <t> 0.026 </t>
  </si>
  <si>
    <t>2419805.381 </t>
  </si>
  <si>
    <t> 06.02.1913 21:08 </t>
  </si>
  <si>
    <t> 0.040 </t>
  </si>
  <si>
    <t>2419831.388 </t>
  </si>
  <si>
    <t> 04.03.1913 21:18 </t>
  </si>
  <si>
    <t> 0.031 </t>
  </si>
  <si>
    <t>2424134.445 </t>
  </si>
  <si>
    <t> 14.12.1924 22:40 </t>
  </si>
  <si>
    <t> -0.012 </t>
  </si>
  <si>
    <t> J.Gadomski </t>
  </si>
  <si>
    <t> SAC 4.45 </t>
  </si>
  <si>
    <t>2425190.714 </t>
  </si>
  <si>
    <t> 06.11.1927 05:08 </t>
  </si>
  <si>
    <t> -0.006 </t>
  </si>
  <si>
    <t> K.Kordylewski </t>
  </si>
  <si>
    <t> SAC 14.60 </t>
  </si>
  <si>
    <t>2426382.425 </t>
  </si>
  <si>
    <t> 09.02.1931 22:12 </t>
  </si>
  <si>
    <t> 0.157 </t>
  </si>
  <si>
    <t>P </t>
  </si>
  <si>
    <t> Strohmeier &amp; Ott </t>
  </si>
  <si>
    <t> VB 5.12 </t>
  </si>
  <si>
    <t>2426413.351 </t>
  </si>
  <si>
    <t> 12.03.1931 20:25 </t>
  </si>
  <si>
    <t> -0.136 </t>
  </si>
  <si>
    <t>2426413.379 </t>
  </si>
  <si>
    <t> 12.03.1931 21:05 </t>
  </si>
  <si>
    <t> -0.108 </t>
  </si>
  <si>
    <t>2426767.276 </t>
  </si>
  <si>
    <t> 29.02.1932 18:37 </t>
  </si>
  <si>
    <t> -0.033 </t>
  </si>
  <si>
    <t>2426767.321 </t>
  </si>
  <si>
    <t> 29.02.1932 19:42 </t>
  </si>
  <si>
    <t> 0.012 </t>
  </si>
  <si>
    <t>2426767.344 </t>
  </si>
  <si>
    <t> 29.02.1932 20:15 </t>
  </si>
  <si>
    <t> 0.035 </t>
  </si>
  <si>
    <t>2426767.412 </t>
  </si>
  <si>
    <t> 29.02.1932 21:53 </t>
  </si>
  <si>
    <t> 0.103 </t>
  </si>
  <si>
    <t>2426772.295 </t>
  </si>
  <si>
    <t> 05.03.1932 19:04 </t>
  </si>
  <si>
    <t> -0.218 </t>
  </si>
  <si>
    <t>2426793.367 </t>
  </si>
  <si>
    <t> 26.03.1932 20:48 </t>
  </si>
  <si>
    <t> 0.041 </t>
  </si>
  <si>
    <t>2427126.340 </t>
  </si>
  <si>
    <t> 22.02.1933 20:09 </t>
  </si>
  <si>
    <t> 0.005 </t>
  </si>
  <si>
    <t>2427131.306 </t>
  </si>
  <si>
    <t> 27.02.1933 19:20 </t>
  </si>
  <si>
    <t> -0.232 </t>
  </si>
  <si>
    <t>2427147.349 </t>
  </si>
  <si>
    <t> 15.03.1933 20:22 </t>
  </si>
  <si>
    <t> 0.201 </t>
  </si>
  <si>
    <t>2427365.615 </t>
  </si>
  <si>
    <t> 20.10.1933 02:45 </t>
  </si>
  <si>
    <t> -0.070 </t>
  </si>
  <si>
    <t>2427459.315 </t>
  </si>
  <si>
    <t> 21.01.1934 19:33 </t>
  </si>
  <si>
    <t> -0.029 </t>
  </si>
  <si>
    <t>2427480.143 </t>
  </si>
  <si>
    <t> 11.02.1934 15:25 </t>
  </si>
  <si>
    <t> -0.014 </t>
  </si>
  <si>
    <t> F.Lause </t>
  </si>
  <si>
    <t> AN 260.292 </t>
  </si>
  <si>
    <t>2427485.342 </t>
  </si>
  <si>
    <t> 16.02.1934 20:12 </t>
  </si>
  <si>
    <t> -0.018 </t>
  </si>
  <si>
    <t>2427516.535 </t>
  </si>
  <si>
    <t> 20.03.1934 00:50 </t>
  </si>
  <si>
    <t> -0.044 </t>
  </si>
  <si>
    <t>2427724.703 </t>
  </si>
  <si>
    <t> 14.10.1934 04:52 </t>
  </si>
  <si>
    <t> -0.007 </t>
  </si>
  <si>
    <t>2427870.404 </t>
  </si>
  <si>
    <t> 08.03.1935 21:41 </t>
  </si>
  <si>
    <t> 0.003 </t>
  </si>
  <si>
    <t>2428026.460 </t>
  </si>
  <si>
    <t> 11.08.1935 23:02 </t>
  </si>
  <si>
    <t> -0.039 </t>
  </si>
  <si>
    <t>2428073.309 </t>
  </si>
  <si>
    <t> 27.09.1935 19:24 </t>
  </si>
  <si>
    <t> -0.020 </t>
  </si>
  <si>
    <t>2428151.315 </t>
  </si>
  <si>
    <t> 14.12.1935 19:33 </t>
  </si>
  <si>
    <t> -0.063 </t>
  </si>
  <si>
    <t>2428250.226 </t>
  </si>
  <si>
    <t> 22.03.1936 17:25 </t>
  </si>
  <si>
    <t>2428250.324 </t>
  </si>
  <si>
    <t> 22.03.1936 19:46 </t>
  </si>
  <si>
    <t> 0.084 </t>
  </si>
  <si>
    <t>2428947.317 </t>
  </si>
  <si>
    <t> 17.02.1938 19:36 </t>
  </si>
  <si>
    <t> -0.160 </t>
  </si>
  <si>
    <t>2429004.757 </t>
  </si>
  <si>
    <t> 16.04.1938 06:10 </t>
  </si>
  <si>
    <t> 0.044 </t>
  </si>
  <si>
    <t> L.G.Bochkareva </t>
  </si>
  <si>
    <t> PZ 15.438 </t>
  </si>
  <si>
    <t>2430079.420 </t>
  </si>
  <si>
    <t> 25.03.1941 22:04 </t>
  </si>
  <si>
    <t> 0.233 </t>
  </si>
  <si>
    <t> S.Gaposchkin </t>
  </si>
  <si>
    <t> HA 113.75 </t>
  </si>
  <si>
    <t>2433318.246 </t>
  </si>
  <si>
    <t> 05.02.1950 17:54 </t>
  </si>
  <si>
    <t> S.Kaho </t>
  </si>
  <si>
    <t> BTOK 30 </t>
  </si>
  <si>
    <t>2433583.623 </t>
  </si>
  <si>
    <t> 29.10.1950 02:57 </t>
  </si>
  <si>
    <t> 0.037 </t>
  </si>
  <si>
    <t> PZ 15.439 </t>
  </si>
  <si>
    <t>2433594.03 </t>
  </si>
  <si>
    <t> 08.11.1950 12:43 </t>
  </si>
  <si>
    <t> 0.04 </t>
  </si>
  <si>
    <t> BTOK 49 </t>
  </si>
  <si>
    <t>2433630.382 </t>
  </si>
  <si>
    <t> 14.12.1950 21:10 </t>
  </si>
  <si>
    <t> -0.034 </t>
  </si>
  <si>
    <t>2434140.359 </t>
  </si>
  <si>
    <t> 07.05.1952 20:36 </t>
  </si>
  <si>
    <t>2437267.524 </t>
  </si>
  <si>
    <t> 29.11.1960 00:34 </t>
  </si>
  <si>
    <t>2437319.466 </t>
  </si>
  <si>
    <t> 19.01.1961 23:11 </t>
  </si>
  <si>
    <t> -0.065 </t>
  </si>
  <si>
    <t> K.Häussler </t>
  </si>
  <si>
    <t> HABZ 94 </t>
  </si>
  <si>
    <t>2437366.288 </t>
  </si>
  <si>
    <t> 07.03.1961 18:54 </t>
  </si>
  <si>
    <t> -0.072 </t>
  </si>
  <si>
    <t> H.Huth </t>
  </si>
  <si>
    <t> MVS 2.125 </t>
  </si>
  <si>
    <t>2437579.591 </t>
  </si>
  <si>
    <t> 07.10.1961 02:11 </t>
  </si>
  <si>
    <t> -0.103 </t>
  </si>
  <si>
    <t>2438084.401 </t>
  </si>
  <si>
    <t> 23.02.1963 21:37 </t>
  </si>
  <si>
    <t> -0.010 </t>
  </si>
  <si>
    <t>2438412.245 </t>
  </si>
  <si>
    <t> 17.01.1964 17:52 </t>
  </si>
  <si>
    <t> 0.029 </t>
  </si>
  <si>
    <t>2441331.312 </t>
  </si>
  <si>
    <t> 14.01.1972 19:29 </t>
  </si>
  <si>
    <t> 0.064 </t>
  </si>
  <si>
    <t>2441721.400 </t>
  </si>
  <si>
    <t> 07.02.1973 21:36 </t>
  </si>
  <si>
    <t> -0.093 </t>
  </si>
  <si>
    <t> K.Locher </t>
  </si>
  <si>
    <t> BBS 8 </t>
  </si>
  <si>
    <t>2442460.364 </t>
  </si>
  <si>
    <t> 16.02.1975 20:44 </t>
  </si>
  <si>
    <t> 0.007 </t>
  </si>
  <si>
    <t>2447169.40 </t>
  </si>
  <si>
    <t> 08.01.1988 21:36 </t>
  </si>
  <si>
    <t> 0.09 </t>
  </si>
  <si>
    <t> A.Paschke </t>
  </si>
  <si>
    <t> BBS 88 </t>
  </si>
  <si>
    <t>2452648.43 </t>
  </si>
  <si>
    <t> 08.01.2003 22:19 </t>
  </si>
  <si>
    <t> 0.08 </t>
  </si>
  <si>
    <t> R.Meyer </t>
  </si>
  <si>
    <t>BAVM 157 </t>
  </si>
  <si>
    <t>2453715.10 </t>
  </si>
  <si>
    <t> 10.12.2005 14:24 </t>
  </si>
  <si>
    <t>OEJV 0028 </t>
  </si>
  <si>
    <t>2454516.4311 </t>
  </si>
  <si>
    <t> 19.02.2008 22:20 </t>
  </si>
  <si>
    <t> 0.1096 </t>
  </si>
  <si>
    <t>C </t>
  </si>
  <si>
    <t>-I</t>
  </si>
  <si>
    <t> F.Agerer </t>
  </si>
  <si>
    <t>BAVM 201 </t>
  </si>
  <si>
    <t>2455640.34147 </t>
  </si>
  <si>
    <t> 19.03.2011 20:11 </t>
  </si>
  <si>
    <t>5852</t>
  </si>
  <si>
    <t> 0.11469 </t>
  </si>
  <si>
    <t>R</t>
  </si>
  <si>
    <t> R.Uhlar </t>
  </si>
  <si>
    <t>IBVS 6007 </t>
  </si>
  <si>
    <t>2457024.414 </t>
  </si>
  <si>
    <t> 01.01.2015 21:56 </t>
  </si>
  <si>
    <t>6118</t>
  </si>
  <si>
    <t> 0.119 </t>
  </si>
  <si>
    <t>o</t>
  </si>
  <si>
    <t>OEJV 0172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</si>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</sst>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4" fillId="2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Ori - O-C Diagr.</a:t>
            </a:r>
          </a:p>
        </c:rich>
      </c:tx>
      <c:layout>
        <c:manualLayout>
          <c:xMode val="edge"/>
          <c:yMode val="edge"/>
          <c:x val="0.393548387096774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209677419354838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B-4921-9CEC-5948511148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1">
                  <c:v>-0.38855864258948714</c:v>
                </c:pt>
                <c:pt idx="52">
                  <c:v>-0.38855864258948714</c:v>
                </c:pt>
                <c:pt idx="53">
                  <c:v>-0.47672537739708787</c:v>
                </c:pt>
                <c:pt idx="56">
                  <c:v>-0.40560630706750089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B-4921-9CEC-5948511148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4">
                  <c:v>-0.37346703933144454</c:v>
                </c:pt>
                <c:pt idx="55">
                  <c:v>-0.3868490763270529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B-4921-9CEC-5948511148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0.1284361537109362</c:v>
                </c:pt>
                <c:pt idx="1">
                  <c:v>0.13199110571076744</c:v>
                </c:pt>
                <c:pt idx="2">
                  <c:v>0.13206717396315071</c:v>
                </c:pt>
                <c:pt idx="3">
                  <c:v>0.12897851059460663</c:v>
                </c:pt>
                <c:pt idx="4">
                  <c:v>0.11922499121646979</c:v>
                </c:pt>
                <c:pt idx="5">
                  <c:v>5.1928866159869358E-3</c:v>
                </c:pt>
                <c:pt idx="6">
                  <c:v>-6.0000000012223609E-3</c:v>
                </c:pt>
                <c:pt idx="8">
                  <c:v>0.13768881262876675</c:v>
                </c:pt>
                <c:pt idx="9">
                  <c:v>-0.15641541061995667</c:v>
                </c:pt>
                <c:pt idx="10">
                  <c:v>-0.1284154106178903</c:v>
                </c:pt>
                <c:pt idx="11">
                  <c:v>-5.9263274113618536E-2</c:v>
                </c:pt>
                <c:pt idx="12">
                  <c:v>-1.4263274115364766E-2</c:v>
                </c:pt>
                <c:pt idx="13">
                  <c:v>8.7367258856829721E-3</c:v>
                </c:pt>
                <c:pt idx="14">
                  <c:v>7.673672588498448E-2</c:v>
                </c:pt>
                <c:pt idx="15">
                  <c:v>-0.24361397799293627</c:v>
                </c:pt>
                <c:pt idx="16">
                  <c:v>1.4983206507167779E-2</c:v>
                </c:pt>
                <c:pt idx="17">
                  <c:v>-2.6461841491254745E-2</c:v>
                </c:pt>
                <c:pt idx="18">
                  <c:v>-0.26381254536318011</c:v>
                </c:pt>
                <c:pt idx="19">
                  <c:v>0.16913534300692845</c:v>
                </c:pt>
                <c:pt idx="20">
                  <c:v>-0.10559421973812277</c:v>
                </c:pt>
                <c:pt idx="21">
                  <c:v>-6.5906889489269815E-2</c:v>
                </c:pt>
                <c:pt idx="22">
                  <c:v>-5.1309704987943405E-2</c:v>
                </c:pt>
                <c:pt idx="23">
                  <c:v>-5.5660408863332123E-2</c:v>
                </c:pt>
                <c:pt idx="24">
                  <c:v>-8.2764632112230174E-2</c:v>
                </c:pt>
                <c:pt idx="25">
                  <c:v>-4.879278711086954E-2</c:v>
                </c:pt>
                <c:pt idx="26">
                  <c:v>-4.1612495613662759E-2</c:v>
                </c:pt>
                <c:pt idx="27">
                  <c:v>-8.613361186144175E-2</c:v>
                </c:pt>
                <c:pt idx="28">
                  <c:v>-6.7289946731762029E-2</c:v>
                </c:pt>
                <c:pt idx="29">
                  <c:v>-0.1115505048619525</c:v>
                </c:pt>
                <c:pt idx="30">
                  <c:v>-6.4213878486043541E-2</c:v>
                </c:pt>
                <c:pt idx="31">
                  <c:v>3.3786121515731793E-2</c:v>
                </c:pt>
                <c:pt idx="32">
                  <c:v>-0.22220819773065159</c:v>
                </c:pt>
                <c:pt idx="33">
                  <c:v>-1.9065940352447797E-2</c:v>
                </c:pt>
                <c:pt idx="34">
                  <c:v>0.1520137094630627</c:v>
                </c:pt>
                <c:pt idx="35">
                  <c:v>-0.10779945270769531</c:v>
                </c:pt>
                <c:pt idx="36">
                  <c:v>-0.10168535033153603</c:v>
                </c:pt>
                <c:pt idx="37">
                  <c:v>-0.10138675807684194</c:v>
                </c:pt>
                <c:pt idx="38">
                  <c:v>-0.17284168520563981</c:v>
                </c:pt>
                <c:pt idx="39">
                  <c:v>-0.12421066495153354</c:v>
                </c:pt>
                <c:pt idx="40">
                  <c:v>-0.17298369381023804</c:v>
                </c:pt>
                <c:pt idx="41">
                  <c:v>-0.26449073255935218</c:v>
                </c:pt>
                <c:pt idx="42">
                  <c:v>-0.27264706743153511</c:v>
                </c:pt>
                <c:pt idx="43">
                  <c:v>-0.30702592630404979</c:v>
                </c:pt>
                <c:pt idx="44">
                  <c:v>-0.22204420217894949</c:v>
                </c:pt>
                <c:pt idx="45">
                  <c:v>-0.18913854630227434</c:v>
                </c:pt>
                <c:pt idx="46">
                  <c:v>-0.20188342015899252</c:v>
                </c:pt>
                <c:pt idx="47">
                  <c:v>-0.36518621077993885</c:v>
                </c:pt>
                <c:pt idx="48">
                  <c:v>-0.27698616102861706</c:v>
                </c:pt>
                <c:pt idx="49">
                  <c:v>-0.27337316787452437</c:v>
                </c:pt>
                <c:pt idx="50">
                  <c:v>-0.37166434821847361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B-4921-9CEC-5948511148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B-4921-9CEC-5948511148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B-4921-9CEC-5948511148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51">
                    <c:v>0.02</c:v>
                  </c:pt>
                  <c:pt idx="52">
                    <c:v>0.2</c:v>
                  </c:pt>
                  <c:pt idx="53">
                    <c:v>2.8E-3</c:v>
                  </c:pt>
                  <c:pt idx="54">
                    <c:v>5.9999999999999995E-4</c:v>
                  </c:pt>
                  <c:pt idx="55">
                    <c:v>7.3999999999999999E-4</c:v>
                  </c:pt>
                  <c:pt idx="5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B-4921-9CEC-5948511148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-1330</c:v>
                </c:pt>
                <c:pt idx="1">
                  <c:v>-1266</c:v>
                </c:pt>
                <c:pt idx="2">
                  <c:v>-1232</c:v>
                </c:pt>
                <c:pt idx="3">
                  <c:v>-1035</c:v>
                </c:pt>
                <c:pt idx="4">
                  <c:v>-1030</c:v>
                </c:pt>
                <c:pt idx="5">
                  <c:v>-203</c:v>
                </c:pt>
                <c:pt idx="6">
                  <c:v>0</c:v>
                </c:pt>
                <c:pt idx="7">
                  <c:v>0</c:v>
                </c:pt>
                <c:pt idx="8">
                  <c:v>229</c:v>
                </c:pt>
                <c:pt idx="9">
                  <c:v>235</c:v>
                </c:pt>
                <c:pt idx="10">
                  <c:v>235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304</c:v>
                </c:pt>
                <c:pt idx="16">
                  <c:v>308</c:v>
                </c:pt>
                <c:pt idx="17">
                  <c:v>372</c:v>
                </c:pt>
                <c:pt idx="18">
                  <c:v>373</c:v>
                </c:pt>
                <c:pt idx="19">
                  <c:v>376</c:v>
                </c:pt>
                <c:pt idx="20">
                  <c:v>418</c:v>
                </c:pt>
                <c:pt idx="21">
                  <c:v>436</c:v>
                </c:pt>
                <c:pt idx="22">
                  <c:v>440</c:v>
                </c:pt>
                <c:pt idx="23">
                  <c:v>441</c:v>
                </c:pt>
                <c:pt idx="24">
                  <c:v>447</c:v>
                </c:pt>
                <c:pt idx="25">
                  <c:v>487</c:v>
                </c:pt>
                <c:pt idx="26">
                  <c:v>515</c:v>
                </c:pt>
                <c:pt idx="27">
                  <c:v>545</c:v>
                </c:pt>
                <c:pt idx="28">
                  <c:v>554</c:v>
                </c:pt>
                <c:pt idx="29">
                  <c:v>569</c:v>
                </c:pt>
                <c:pt idx="30">
                  <c:v>588</c:v>
                </c:pt>
                <c:pt idx="31">
                  <c:v>588</c:v>
                </c:pt>
                <c:pt idx="32">
                  <c:v>722</c:v>
                </c:pt>
                <c:pt idx="33">
                  <c:v>733</c:v>
                </c:pt>
                <c:pt idx="34">
                  <c:v>939.5</c:v>
                </c:pt>
                <c:pt idx="35">
                  <c:v>1562</c:v>
                </c:pt>
                <c:pt idx="36">
                  <c:v>1613</c:v>
                </c:pt>
                <c:pt idx="37">
                  <c:v>1615</c:v>
                </c:pt>
                <c:pt idx="38">
                  <c:v>1622</c:v>
                </c:pt>
                <c:pt idx="39">
                  <c:v>1720</c:v>
                </c:pt>
                <c:pt idx="40">
                  <c:v>2321</c:v>
                </c:pt>
                <c:pt idx="41">
                  <c:v>2331</c:v>
                </c:pt>
                <c:pt idx="42">
                  <c:v>2340</c:v>
                </c:pt>
                <c:pt idx="43">
                  <c:v>2381</c:v>
                </c:pt>
                <c:pt idx="44">
                  <c:v>2478</c:v>
                </c:pt>
                <c:pt idx="45">
                  <c:v>2541</c:v>
                </c:pt>
                <c:pt idx="46">
                  <c:v>3102</c:v>
                </c:pt>
                <c:pt idx="47">
                  <c:v>3177</c:v>
                </c:pt>
                <c:pt idx="48">
                  <c:v>3319</c:v>
                </c:pt>
                <c:pt idx="49">
                  <c:v>4224</c:v>
                </c:pt>
                <c:pt idx="50">
                  <c:v>5277</c:v>
                </c:pt>
                <c:pt idx="51">
                  <c:v>5482</c:v>
                </c:pt>
                <c:pt idx="52">
                  <c:v>5482</c:v>
                </c:pt>
                <c:pt idx="53">
                  <c:v>5555.5</c:v>
                </c:pt>
                <c:pt idx="54">
                  <c:v>5636</c:v>
                </c:pt>
                <c:pt idx="55">
                  <c:v>5852</c:v>
                </c:pt>
                <c:pt idx="56">
                  <c:v>6118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8.7030813184136468E-2</c:v>
                </c:pt>
                <c:pt idx="1">
                  <c:v>8.2323211638660951E-2</c:v>
                </c:pt>
                <c:pt idx="2">
                  <c:v>7.9822298317627077E-2</c:v>
                </c:pt>
                <c:pt idx="3">
                  <c:v>6.5331712310460269E-2</c:v>
                </c:pt>
                <c:pt idx="4">
                  <c:v>6.4963930939719985E-2</c:v>
                </c:pt>
                <c:pt idx="5">
                  <c:v>4.1328922192785823E-3</c:v>
                </c:pt>
                <c:pt idx="6">
                  <c:v>-1.0799031432776565E-2</c:v>
                </c:pt>
                <c:pt idx="7">
                  <c:v>-1.0799031432776565E-2</c:v>
                </c:pt>
                <c:pt idx="8">
                  <c:v>-2.764341821268114E-2</c:v>
                </c:pt>
                <c:pt idx="9">
                  <c:v>-2.808475585756947E-2</c:v>
                </c:pt>
                <c:pt idx="10">
                  <c:v>-2.808475585756947E-2</c:v>
                </c:pt>
                <c:pt idx="11">
                  <c:v>-3.3086582499637203E-2</c:v>
                </c:pt>
                <c:pt idx="12">
                  <c:v>-3.3086582499637203E-2</c:v>
                </c:pt>
                <c:pt idx="13">
                  <c:v>-3.3086582499637203E-2</c:v>
                </c:pt>
                <c:pt idx="14">
                  <c:v>-3.3086582499637203E-2</c:v>
                </c:pt>
                <c:pt idx="15">
                  <c:v>-3.3160138773785257E-2</c:v>
                </c:pt>
                <c:pt idx="16">
                  <c:v>-3.3454363870377479E-2</c:v>
                </c:pt>
                <c:pt idx="17">
                  <c:v>-3.816196541585299E-2</c:v>
                </c:pt>
                <c:pt idx="18">
                  <c:v>-3.8235521690001051E-2</c:v>
                </c:pt>
                <c:pt idx="19">
                  <c:v>-3.8456190512445212E-2</c:v>
                </c:pt>
                <c:pt idx="20">
                  <c:v>-4.1545554026663517E-2</c:v>
                </c:pt>
                <c:pt idx="21">
                  <c:v>-4.2869566961328508E-2</c:v>
                </c:pt>
                <c:pt idx="22">
                  <c:v>-4.3163792057920723E-2</c:v>
                </c:pt>
                <c:pt idx="23">
                  <c:v>-4.3237348332068777E-2</c:v>
                </c:pt>
                <c:pt idx="24">
                  <c:v>-4.3678685976957107E-2</c:v>
                </c:pt>
                <c:pt idx="25">
                  <c:v>-4.6620936942879304E-2</c:v>
                </c:pt>
                <c:pt idx="26">
                  <c:v>-4.8680512619024841E-2</c:v>
                </c:pt>
                <c:pt idx="27">
                  <c:v>-5.0887200843466492E-2</c:v>
                </c:pt>
                <c:pt idx="28">
                  <c:v>-5.1549207310798983E-2</c:v>
                </c:pt>
                <c:pt idx="29">
                  <c:v>-5.2652551423019806E-2</c:v>
                </c:pt>
                <c:pt idx="30">
                  <c:v>-5.405012063183285E-2</c:v>
                </c:pt>
                <c:pt idx="31">
                  <c:v>-5.405012063183285E-2</c:v>
                </c:pt>
                <c:pt idx="32">
                  <c:v>-6.3906661367672202E-2</c:v>
                </c:pt>
                <c:pt idx="33">
                  <c:v>-6.4715780383300808E-2</c:v>
                </c:pt>
                <c:pt idx="34">
                  <c:v>-7.990515099487415E-2</c:v>
                </c:pt>
                <c:pt idx="35">
                  <c:v>-0.12569393165203835</c:v>
                </c:pt>
                <c:pt idx="36">
                  <c:v>-0.12944530163358914</c:v>
                </c:pt>
                <c:pt idx="37">
                  <c:v>-0.12959241418188525</c:v>
                </c:pt>
                <c:pt idx="38">
                  <c:v>-0.13010730810092164</c:v>
                </c:pt>
                <c:pt idx="39">
                  <c:v>-0.137315822967431</c:v>
                </c:pt>
                <c:pt idx="40">
                  <c:v>-0.18152314373041201</c:v>
                </c:pt>
                <c:pt idx="41">
                  <c:v>-0.18225870647189257</c:v>
                </c:pt>
                <c:pt idx="42">
                  <c:v>-0.18292071293922507</c:v>
                </c:pt>
                <c:pt idx="43">
                  <c:v>-0.18593652017929529</c:v>
                </c:pt>
                <c:pt idx="44">
                  <c:v>-0.19307147877165665</c:v>
                </c:pt>
                <c:pt idx="45">
                  <c:v>-0.19770552404298408</c:v>
                </c:pt>
                <c:pt idx="46">
                  <c:v>-0.23897059384004288</c:v>
                </c:pt>
                <c:pt idx="47">
                  <c:v>-0.24448731440114702</c:v>
                </c:pt>
                <c:pt idx="48">
                  <c:v>-0.25493230533017081</c:v>
                </c:pt>
                <c:pt idx="49">
                  <c:v>-0.32150073343416047</c:v>
                </c:pt>
                <c:pt idx="50">
                  <c:v>-0.39895549011206233</c:v>
                </c:pt>
                <c:pt idx="51">
                  <c:v>-0.41403452631241355</c:v>
                </c:pt>
                <c:pt idx="52">
                  <c:v>-0.41403452631241355</c:v>
                </c:pt>
                <c:pt idx="53">
                  <c:v>-0.41944091246229559</c:v>
                </c:pt>
                <c:pt idx="54">
                  <c:v>-0.42536219253121405</c:v>
                </c:pt>
                <c:pt idx="55">
                  <c:v>-0.44125034774719391</c:v>
                </c:pt>
                <c:pt idx="56">
                  <c:v>-0.46081631667057649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B-4921-9CEC-59485111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18152"/>
        <c:axId val="1"/>
      </c:scatterChart>
      <c:valAx>
        <c:axId val="80811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1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9677419354839"/>
          <c:y val="0.92073298764483702"/>
          <c:w val="0.7451612903225806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Ori - O-C Diagr.</a:t>
            </a:r>
          </a:p>
        </c:rich>
      </c:tx>
      <c:layout>
        <c:manualLayout>
          <c:xMode val="edge"/>
          <c:yMode val="edge"/>
          <c:x val="0.3941845072273881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239101814214754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0-49A6-A60D-676B7406F6F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-5.1219950000013341</c:v>
                </c:pt>
                <c:pt idx="2">
                  <c:v>-5.1219950000013341</c:v>
                </c:pt>
                <c:pt idx="3">
                  <c:v>-5.2038625000059255</c:v>
                </c:pt>
                <c:pt idx="4">
                  <c:v>-5.0937049999993178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0-49A6-A60D-676B7406F6F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0-49A6-A60D-676B7406F6F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0-49A6-A60D-676B7406F6F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0-49A6-A60D-676B7406F6F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70-49A6-A60D-676B7406F6F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70-49A6-A60D-676B7406F6F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-5.6101781293525415</c:v>
                </c:pt>
                <c:pt idx="1">
                  <c:v>-5.1402637828909077</c:v>
                </c:pt>
                <c:pt idx="2">
                  <c:v>-5.1402637828909077</c:v>
                </c:pt>
                <c:pt idx="3">
                  <c:v>-5.1339645480805975</c:v>
                </c:pt>
                <c:pt idx="4">
                  <c:v>-5.127065386145496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70-49A6-A60D-676B7406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908792"/>
        <c:axId val="1"/>
      </c:scatterChart>
      <c:valAx>
        <c:axId val="809908792"/>
        <c:scaling>
          <c:orientation val="minMax"/>
          <c:max val="5800"/>
          <c:min val="5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.8"/>
          <c:min val="-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90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870776249899294"/>
          <c:y val="0.9204921861831491"/>
          <c:w val="0.92730277859047905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Ori - O-C Diagr.</a:t>
            </a:r>
          </a:p>
        </c:rich>
      </c:tx>
      <c:layout>
        <c:manualLayout>
          <c:xMode val="edge"/>
          <c:yMode val="edge"/>
          <c:x val="0.393548387096774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2903225806452"/>
          <c:y val="0.14634168126798494"/>
          <c:w val="0.8387096774193548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1-4C7E-B03D-A21EC1F5F51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-5.1219950000013341</c:v>
                </c:pt>
                <c:pt idx="2">
                  <c:v>-5.1219950000013341</c:v>
                </c:pt>
                <c:pt idx="3">
                  <c:v>-5.2038625000059255</c:v>
                </c:pt>
                <c:pt idx="4">
                  <c:v>-5.0937049999993178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1-4C7E-B03D-A21EC1F5F51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61-4C7E-B03D-A21EC1F5F51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61-4C7E-B03D-A21EC1F5F51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61-4C7E-B03D-A21EC1F5F51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61-4C7E-B03D-A21EC1F5F51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0.2</c:v>
                  </c:pt>
                  <c:pt idx="3">
                    <c:v>2.8E-3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61-4C7E-B03D-A21EC1F5F51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5483</c:v>
                </c:pt>
                <c:pt idx="2">
                  <c:v>5483</c:v>
                </c:pt>
                <c:pt idx="3">
                  <c:v>5556.5</c:v>
                </c:pt>
                <c:pt idx="4">
                  <c:v>5637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-5.6101781293525415</c:v>
                </c:pt>
                <c:pt idx="1">
                  <c:v>-5.1402637828909077</c:v>
                </c:pt>
                <c:pt idx="2">
                  <c:v>-5.1402637828909077</c:v>
                </c:pt>
                <c:pt idx="3">
                  <c:v>-5.1339645480805975</c:v>
                </c:pt>
                <c:pt idx="4">
                  <c:v>-5.127065386145496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61-4C7E-B03D-A21EC1F5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19952"/>
        <c:axId val="1"/>
      </c:scatterChart>
      <c:valAx>
        <c:axId val="80811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1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93548387096773"/>
          <c:y val="0.92073298764483702"/>
          <c:w val="0.9193548387096773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647700</xdr:colOff>
      <xdr:row>18</xdr:row>
      <xdr:rowOff>57149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65B439D8-71D6-820C-F12B-C700D04DB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79086E-A698-577B-521F-9E27ED9B6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79F9DD9-156A-D2E2-C25E-B75C06E86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var.astro.cz/oejv/issues/oejv0028.pdf" TargetMode="External"/><Relationship Id="rId1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s="59" customFormat="1" ht="12.95" customHeight="1" x14ac:dyDescent="0.2">
      <c r="A2" s="59" t="s">
        <v>25</v>
      </c>
      <c r="B2" s="60" t="s">
        <v>32</v>
      </c>
      <c r="C2" s="61"/>
      <c r="D2" s="61"/>
    </row>
    <row r="3" spans="1:7" s="59" customFormat="1" ht="12.95" customHeight="1" thickBot="1" x14ac:dyDescent="0.25"/>
    <row r="4" spans="1:7" s="59" customFormat="1" ht="12.95" customHeight="1" thickTop="1" thickBot="1" x14ac:dyDescent="0.25">
      <c r="A4" s="62" t="s">
        <v>0</v>
      </c>
      <c r="C4" s="63">
        <v>25190.720000000001</v>
      </c>
      <c r="D4" s="64">
        <v>5.203265</v>
      </c>
    </row>
    <row r="5" spans="1:7" s="59" customFormat="1" ht="12.95" customHeight="1" x14ac:dyDescent="0.2"/>
    <row r="6" spans="1:7" s="59" customFormat="1" ht="12.95" customHeight="1" x14ac:dyDescent="0.2">
      <c r="A6" s="62" t="s">
        <v>1</v>
      </c>
    </row>
    <row r="7" spans="1:7" s="59" customFormat="1" ht="12.95" customHeight="1" x14ac:dyDescent="0.2">
      <c r="A7" s="59" t="s">
        <v>2</v>
      </c>
      <c r="C7" s="59">
        <f>+C4</f>
        <v>25190.720000000001</v>
      </c>
    </row>
    <row r="8" spans="1:7" s="59" customFormat="1" ht="12.95" customHeight="1" x14ac:dyDescent="0.2">
      <c r="A8" s="59" t="s">
        <v>3</v>
      </c>
      <c r="C8" s="59">
        <v>5.2033507038749702</v>
      </c>
    </row>
    <row r="9" spans="1:7" s="59" customFormat="1" ht="12.95" customHeight="1" x14ac:dyDescent="0.2">
      <c r="A9" s="65" t="s">
        <v>35</v>
      </c>
      <c r="C9" s="66">
        <v>-9.5</v>
      </c>
      <c r="D9" s="59" t="s">
        <v>36</v>
      </c>
    </row>
    <row r="10" spans="1:7" s="59" customFormat="1" ht="12.95" customHeight="1" thickBot="1" x14ac:dyDescent="0.25">
      <c r="C10" s="67" t="s">
        <v>21</v>
      </c>
      <c r="D10" s="67" t="s">
        <v>22</v>
      </c>
    </row>
    <row r="11" spans="1:7" s="59" customFormat="1" ht="12.95" customHeight="1" x14ac:dyDescent="0.2">
      <c r="A11" s="59" t="s">
        <v>16</v>
      </c>
      <c r="C11" s="68">
        <f ca="1">INTERCEPT(INDIRECT($G$11):G992,INDIRECT($F$11):F992)</f>
        <v>-1.0799031432776565E-2</v>
      </c>
      <c r="D11" s="61"/>
      <c r="F11" s="69" t="str">
        <f>"F"&amp;E19</f>
        <v>F21</v>
      </c>
      <c r="G11" s="68" t="str">
        <f>"G"&amp;E19</f>
        <v>G21</v>
      </c>
    </row>
    <row r="12" spans="1:7" s="59" customFormat="1" ht="12.95" customHeight="1" x14ac:dyDescent="0.2">
      <c r="A12" s="59" t="s">
        <v>17</v>
      </c>
      <c r="C12" s="68">
        <f ca="1">SLOPE(INDIRECT($G$11):G992,INDIRECT($F$11):F992)</f>
        <v>-7.355627414805491E-5</v>
      </c>
      <c r="D12" s="61"/>
    </row>
    <row r="13" spans="1:7" s="59" customFormat="1" ht="12.95" customHeight="1" x14ac:dyDescent="0.2">
      <c r="A13" s="59" t="s">
        <v>20</v>
      </c>
      <c r="C13" s="61" t="s">
        <v>14</v>
      </c>
      <c r="D13" s="70" t="s">
        <v>48</v>
      </c>
      <c r="E13" s="66">
        <v>1</v>
      </c>
    </row>
    <row r="14" spans="1:7" s="59" customFormat="1" ht="12.95" customHeight="1" x14ac:dyDescent="0.2">
      <c r="D14" s="70" t="s">
        <v>37</v>
      </c>
      <c r="E14" s="71">
        <f ca="1">NOW()+15018.5+$C$9/24</f>
        <v>60370.781245370366</v>
      </c>
    </row>
    <row r="15" spans="1:7" s="59" customFormat="1" ht="12.95" customHeight="1" x14ac:dyDescent="0.2">
      <c r="A15" s="72" t="s">
        <v>18</v>
      </c>
      <c r="C15" s="73">
        <f ca="1">(C7+C11)+(C8+C12)*INT(MAX(F21:F3533))</f>
        <v>57024.358789990394</v>
      </c>
      <c r="D15" s="70" t="s">
        <v>49</v>
      </c>
      <c r="E15" s="71">
        <f ca="1">ROUND(2*(E14-$C$7)/$C$8,0)/2+E13</f>
        <v>6762</v>
      </c>
    </row>
    <row r="16" spans="1:7" s="59" customFormat="1" ht="12.95" customHeight="1" x14ac:dyDescent="0.2">
      <c r="A16" s="62" t="s">
        <v>4</v>
      </c>
      <c r="C16" s="74">
        <f ca="1">+C8+C12</f>
        <v>5.2032771476008222</v>
      </c>
      <c r="D16" s="70" t="s">
        <v>38</v>
      </c>
      <c r="E16" s="68">
        <f ca="1">ROUND(2*(E14-$C$15)/$C$16,0)/2+E13</f>
        <v>644</v>
      </c>
    </row>
    <row r="17" spans="1:17" s="59" customFormat="1" ht="12.95" customHeight="1" thickBot="1" x14ac:dyDescent="0.25">
      <c r="A17" s="70" t="s">
        <v>30</v>
      </c>
      <c r="C17" s="59">
        <f>COUNT(C21:C2191)</f>
        <v>57</v>
      </c>
      <c r="D17" s="70" t="s">
        <v>39</v>
      </c>
      <c r="E17" s="75">
        <f ca="1">+$C$15+$C$16*E16-15018.5-$C$9/24</f>
        <v>45357.165106378663</v>
      </c>
    </row>
    <row r="18" spans="1:17" s="59" customFormat="1" ht="12.95" customHeight="1" thickTop="1" thickBot="1" x14ac:dyDescent="0.25">
      <c r="A18" s="62" t="s">
        <v>5</v>
      </c>
      <c r="C18" s="76">
        <f ca="1">+C15</f>
        <v>57024.358789990394</v>
      </c>
      <c r="D18" s="77">
        <f ca="1">+C16</f>
        <v>5.2032771476008222</v>
      </c>
      <c r="E18" s="78" t="s">
        <v>40</v>
      </c>
    </row>
    <row r="19" spans="1:17" s="59" customFormat="1" ht="12.95" customHeight="1" thickTop="1" x14ac:dyDescent="0.2">
      <c r="A19" s="79" t="s">
        <v>41</v>
      </c>
      <c r="E19" s="80">
        <v>21</v>
      </c>
    </row>
    <row r="20" spans="1:17" s="59" customFormat="1" ht="12.95" customHeight="1" thickBot="1" x14ac:dyDescent="0.25">
      <c r="A20" s="67" t="s">
        <v>6</v>
      </c>
      <c r="B20" s="67" t="s">
        <v>7</v>
      </c>
      <c r="C20" s="67" t="s">
        <v>8</v>
      </c>
      <c r="D20" s="67" t="s">
        <v>13</v>
      </c>
      <c r="E20" s="67" t="s">
        <v>9</v>
      </c>
      <c r="F20" s="67" t="s">
        <v>10</v>
      </c>
      <c r="G20" s="67" t="s">
        <v>11</v>
      </c>
      <c r="H20" s="81" t="s">
        <v>12</v>
      </c>
      <c r="I20" s="81" t="s">
        <v>262</v>
      </c>
      <c r="J20" s="81" t="s">
        <v>53</v>
      </c>
      <c r="K20" s="81" t="s">
        <v>26</v>
      </c>
      <c r="L20" s="81" t="s">
        <v>27</v>
      </c>
      <c r="M20" s="81" t="s">
        <v>28</v>
      </c>
      <c r="N20" s="81" t="s">
        <v>29</v>
      </c>
      <c r="O20" s="81" t="s">
        <v>24</v>
      </c>
      <c r="P20" s="82" t="s">
        <v>23</v>
      </c>
      <c r="Q20" s="67" t="s">
        <v>15</v>
      </c>
    </row>
    <row r="21" spans="1:17" s="59" customFormat="1" ht="12.95" customHeight="1" x14ac:dyDescent="0.2">
      <c r="A21" s="83" t="s">
        <v>68</v>
      </c>
      <c r="B21" s="84" t="s">
        <v>45</v>
      </c>
      <c r="C21" s="85">
        <v>18270.392</v>
      </c>
      <c r="D21" s="86"/>
      <c r="E21" s="59">
        <f t="shared" ref="E21:E52" si="0">+(C21-C$7)/C$8</f>
        <v>-1329.9753166447895</v>
      </c>
      <c r="F21" s="59">
        <f t="shared" ref="F21:F52" si="1">ROUND(2*E21,0)/2</f>
        <v>-1330</v>
      </c>
      <c r="G21" s="59">
        <f t="shared" ref="G21:G52" si="2">+C21-(C$7+F21*C$8)</f>
        <v>0.1284361537109362</v>
      </c>
      <c r="K21" s="59">
        <f t="shared" ref="K21:K27" si="3">+G21</f>
        <v>0.1284361537109362</v>
      </c>
      <c r="O21" s="59">
        <f t="shared" ref="O21:O52" ca="1" si="4">+C$11+C$12*$F21</f>
        <v>8.7030813184136468E-2</v>
      </c>
      <c r="Q21" s="87">
        <f t="shared" ref="Q21:Q52" si="5">+C21-15018.5</f>
        <v>3251.8919999999998</v>
      </c>
    </row>
    <row r="22" spans="1:17" s="59" customFormat="1" ht="12.95" customHeight="1" x14ac:dyDescent="0.2">
      <c r="A22" s="83" t="s">
        <v>68</v>
      </c>
      <c r="B22" s="84" t="s">
        <v>45</v>
      </c>
      <c r="C22" s="85">
        <v>18603.41</v>
      </c>
      <c r="D22" s="86"/>
      <c r="E22" s="59">
        <f t="shared" si="0"/>
        <v>-1265.9746334404074</v>
      </c>
      <c r="F22" s="59">
        <f t="shared" si="1"/>
        <v>-1266</v>
      </c>
      <c r="G22" s="59">
        <f t="shared" si="2"/>
        <v>0.13199110571076744</v>
      </c>
      <c r="K22" s="59">
        <f t="shared" si="3"/>
        <v>0.13199110571076744</v>
      </c>
      <c r="O22" s="59">
        <f t="shared" ca="1" si="4"/>
        <v>8.2323211638660951E-2</v>
      </c>
      <c r="Q22" s="87">
        <f t="shared" si="5"/>
        <v>3584.91</v>
      </c>
    </row>
    <row r="23" spans="1:17" s="59" customFormat="1" ht="12.95" customHeight="1" x14ac:dyDescent="0.2">
      <c r="A23" s="83" t="s">
        <v>68</v>
      </c>
      <c r="B23" s="84" t="s">
        <v>45</v>
      </c>
      <c r="C23" s="85">
        <v>18780.324000000001</v>
      </c>
      <c r="D23" s="86"/>
      <c r="E23" s="59">
        <f t="shared" si="0"/>
        <v>-1231.9746188213176</v>
      </c>
      <c r="F23" s="59">
        <f t="shared" si="1"/>
        <v>-1232</v>
      </c>
      <c r="G23" s="59">
        <f t="shared" si="2"/>
        <v>0.13206717396315071</v>
      </c>
      <c r="K23" s="59">
        <f t="shared" si="3"/>
        <v>0.13206717396315071</v>
      </c>
      <c r="O23" s="59">
        <f t="shared" ca="1" si="4"/>
        <v>7.9822298317627077E-2</v>
      </c>
      <c r="Q23" s="87">
        <f t="shared" si="5"/>
        <v>3761.8240000000005</v>
      </c>
    </row>
    <row r="24" spans="1:17" x14ac:dyDescent="0.2">
      <c r="A24" s="56" t="s">
        <v>68</v>
      </c>
      <c r="B24" s="58" t="s">
        <v>45</v>
      </c>
      <c r="C24" s="57">
        <v>19805.381000000001</v>
      </c>
      <c r="D24" s="10"/>
      <c r="E24">
        <f t="shared" si="0"/>
        <v>-1034.9752124125521</v>
      </c>
      <c r="F24">
        <f t="shared" si="1"/>
        <v>-1035</v>
      </c>
      <c r="G24">
        <f t="shared" si="2"/>
        <v>0.12897851059460663</v>
      </c>
      <c r="K24">
        <f t="shared" si="3"/>
        <v>0.12897851059460663</v>
      </c>
      <c r="O24">
        <f t="shared" ca="1" si="4"/>
        <v>6.5331712310460269E-2</v>
      </c>
      <c r="Q24" s="2">
        <f t="shared" si="5"/>
        <v>4786.8810000000012</v>
      </c>
    </row>
    <row r="25" spans="1:17" x14ac:dyDescent="0.2">
      <c r="A25" s="56" t="s">
        <v>68</v>
      </c>
      <c r="B25" s="58" t="s">
        <v>45</v>
      </c>
      <c r="C25" s="57">
        <v>19831.387999999999</v>
      </c>
      <c r="D25" s="10"/>
      <c r="E25">
        <f t="shared" si="0"/>
        <v>-1029.977086881511</v>
      </c>
      <c r="F25">
        <f t="shared" si="1"/>
        <v>-1030</v>
      </c>
      <c r="G25">
        <f t="shared" si="2"/>
        <v>0.11922499121646979</v>
      </c>
      <c r="K25">
        <f t="shared" si="3"/>
        <v>0.11922499121646979</v>
      </c>
      <c r="O25">
        <f t="shared" ca="1" si="4"/>
        <v>6.4963930939719985E-2</v>
      </c>
      <c r="Q25" s="2">
        <f t="shared" si="5"/>
        <v>4812.887999999999</v>
      </c>
    </row>
    <row r="26" spans="1:17" x14ac:dyDescent="0.2">
      <c r="A26" s="56" t="s">
        <v>85</v>
      </c>
      <c r="B26" s="58" t="s">
        <v>45</v>
      </c>
      <c r="C26" s="57">
        <v>24134.445</v>
      </c>
      <c r="D26" s="10"/>
      <c r="E26">
        <f t="shared" si="0"/>
        <v>-202.99900201102847</v>
      </c>
      <c r="F26">
        <f t="shared" si="1"/>
        <v>-203</v>
      </c>
      <c r="G26">
        <f t="shared" si="2"/>
        <v>5.1928866159869358E-3</v>
      </c>
      <c r="K26">
        <f t="shared" si="3"/>
        <v>5.1928866159869358E-3</v>
      </c>
      <c r="O26">
        <f t="shared" ca="1" si="4"/>
        <v>4.1328922192785823E-3</v>
      </c>
      <c r="Q26" s="2">
        <f t="shared" si="5"/>
        <v>9115.9449999999997</v>
      </c>
    </row>
    <row r="27" spans="1:17" x14ac:dyDescent="0.2">
      <c r="A27" s="56" t="s">
        <v>90</v>
      </c>
      <c r="B27" s="58" t="s">
        <v>45</v>
      </c>
      <c r="C27" s="57">
        <v>25190.714</v>
      </c>
      <c r="D27" s="10"/>
      <c r="E27">
        <f t="shared" si="0"/>
        <v>-1.1531031334778416E-3</v>
      </c>
      <c r="F27">
        <f t="shared" si="1"/>
        <v>0</v>
      </c>
      <c r="G27">
        <f t="shared" si="2"/>
        <v>-6.0000000012223609E-3</v>
      </c>
      <c r="K27">
        <f t="shared" si="3"/>
        <v>-6.0000000012223609E-3</v>
      </c>
      <c r="O27">
        <f t="shared" ca="1" si="4"/>
        <v>-1.0799031432776565E-2</v>
      </c>
      <c r="Q27" s="2">
        <f t="shared" si="5"/>
        <v>10172.214</v>
      </c>
    </row>
    <row r="28" spans="1:17" x14ac:dyDescent="0.2">
      <c r="A28" t="s">
        <v>12</v>
      </c>
      <c r="C28" s="10">
        <v>25190.720000000001</v>
      </c>
      <c r="D28" s="10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-1.0799031432776565E-2</v>
      </c>
      <c r="Q28" s="2">
        <f t="shared" si="5"/>
        <v>10172.220000000001</v>
      </c>
    </row>
    <row r="29" spans="1:17" x14ac:dyDescent="0.2">
      <c r="A29" s="56" t="s">
        <v>96</v>
      </c>
      <c r="B29" s="58" t="s">
        <v>45</v>
      </c>
      <c r="C29" s="57">
        <v>26382.424999999999</v>
      </c>
      <c r="D29" s="10"/>
      <c r="E29">
        <f t="shared" si="0"/>
        <v>229.02646156687601</v>
      </c>
      <c r="F29">
        <f t="shared" si="1"/>
        <v>229</v>
      </c>
      <c r="G29">
        <f t="shared" si="2"/>
        <v>0.13768881262876675</v>
      </c>
      <c r="K29">
        <f t="shared" ref="K29:K71" si="6">+G29</f>
        <v>0.13768881262876675</v>
      </c>
      <c r="O29">
        <f t="shared" ca="1" si="4"/>
        <v>-2.764341821268114E-2</v>
      </c>
      <c r="Q29" s="2">
        <f t="shared" si="5"/>
        <v>11363.924999999999</v>
      </c>
    </row>
    <row r="30" spans="1:17" x14ac:dyDescent="0.2">
      <c r="A30" s="56" t="s">
        <v>96</v>
      </c>
      <c r="B30" s="58" t="s">
        <v>45</v>
      </c>
      <c r="C30" s="57">
        <v>26413.350999999999</v>
      </c>
      <c r="D30" s="10"/>
      <c r="E30">
        <f t="shared" si="0"/>
        <v>234.96993948332101</v>
      </c>
      <c r="F30">
        <f t="shared" si="1"/>
        <v>235</v>
      </c>
      <c r="G30">
        <f t="shared" si="2"/>
        <v>-0.15641541061995667</v>
      </c>
      <c r="K30">
        <f t="shared" si="6"/>
        <v>-0.15641541061995667</v>
      </c>
      <c r="O30">
        <f t="shared" ca="1" si="4"/>
        <v>-2.808475585756947E-2</v>
      </c>
      <c r="Q30" s="2">
        <f t="shared" si="5"/>
        <v>11394.850999999999</v>
      </c>
    </row>
    <row r="31" spans="1:17" x14ac:dyDescent="0.2">
      <c r="A31" s="56" t="s">
        <v>96</v>
      </c>
      <c r="B31" s="58" t="s">
        <v>45</v>
      </c>
      <c r="C31" s="57">
        <v>26413.379000000001</v>
      </c>
      <c r="D31" s="10"/>
      <c r="E31">
        <f t="shared" si="0"/>
        <v>234.97532063127656</v>
      </c>
      <c r="F31">
        <f t="shared" si="1"/>
        <v>235</v>
      </c>
      <c r="G31">
        <f t="shared" si="2"/>
        <v>-0.1284154106178903</v>
      </c>
      <c r="K31">
        <f t="shared" si="6"/>
        <v>-0.1284154106178903</v>
      </c>
      <c r="O31">
        <f t="shared" ca="1" si="4"/>
        <v>-2.808475585756947E-2</v>
      </c>
      <c r="Q31" s="2">
        <f t="shared" si="5"/>
        <v>11394.879000000001</v>
      </c>
    </row>
    <row r="32" spans="1:17" x14ac:dyDescent="0.2">
      <c r="A32" s="56" t="s">
        <v>96</v>
      </c>
      <c r="B32" s="58" t="s">
        <v>45</v>
      </c>
      <c r="C32" s="57">
        <v>26767.276000000002</v>
      </c>
      <c r="D32" s="10"/>
      <c r="E32">
        <f t="shared" si="0"/>
        <v>302.98861055548855</v>
      </c>
      <c r="F32">
        <f t="shared" si="1"/>
        <v>303</v>
      </c>
      <c r="G32">
        <f t="shared" si="2"/>
        <v>-5.9263274113618536E-2</v>
      </c>
      <c r="K32">
        <f t="shared" si="6"/>
        <v>-5.9263274113618536E-2</v>
      </c>
      <c r="O32">
        <f t="shared" ca="1" si="4"/>
        <v>-3.3086582499637203E-2</v>
      </c>
      <c r="Q32" s="2">
        <f t="shared" si="5"/>
        <v>11748.776000000002</v>
      </c>
    </row>
    <row r="33" spans="1:17" x14ac:dyDescent="0.2">
      <c r="A33" s="56" t="s">
        <v>96</v>
      </c>
      <c r="B33" s="58" t="s">
        <v>45</v>
      </c>
      <c r="C33" s="57">
        <v>26767.321</v>
      </c>
      <c r="D33" s="10"/>
      <c r="E33">
        <f t="shared" si="0"/>
        <v>302.99725882898753</v>
      </c>
      <c r="F33">
        <f t="shared" si="1"/>
        <v>303</v>
      </c>
      <c r="G33">
        <f t="shared" si="2"/>
        <v>-1.4263274115364766E-2</v>
      </c>
      <c r="K33">
        <f t="shared" si="6"/>
        <v>-1.4263274115364766E-2</v>
      </c>
      <c r="O33">
        <f t="shared" ca="1" si="4"/>
        <v>-3.3086582499637203E-2</v>
      </c>
      <c r="Q33" s="2">
        <f t="shared" si="5"/>
        <v>11748.821</v>
      </c>
    </row>
    <row r="34" spans="1:17" x14ac:dyDescent="0.2">
      <c r="A34" s="56" t="s">
        <v>96</v>
      </c>
      <c r="B34" s="58" t="s">
        <v>45</v>
      </c>
      <c r="C34" s="57">
        <v>26767.344000000001</v>
      </c>
      <c r="D34" s="10"/>
      <c r="E34">
        <f t="shared" si="0"/>
        <v>303.00167905766517</v>
      </c>
      <c r="F34">
        <f t="shared" si="1"/>
        <v>303</v>
      </c>
      <c r="G34">
        <f t="shared" si="2"/>
        <v>8.7367258856829721E-3</v>
      </c>
      <c r="K34">
        <f t="shared" si="6"/>
        <v>8.7367258856829721E-3</v>
      </c>
      <c r="O34">
        <f t="shared" ca="1" si="4"/>
        <v>-3.3086582499637203E-2</v>
      </c>
      <c r="Q34" s="2">
        <f t="shared" si="5"/>
        <v>11748.844000000001</v>
      </c>
    </row>
    <row r="35" spans="1:17" x14ac:dyDescent="0.2">
      <c r="A35" s="56" t="s">
        <v>96</v>
      </c>
      <c r="B35" s="58" t="s">
        <v>45</v>
      </c>
      <c r="C35" s="57">
        <v>26767.412</v>
      </c>
      <c r="D35" s="10"/>
      <c r="E35">
        <f t="shared" si="0"/>
        <v>303.01474755984179</v>
      </c>
      <c r="F35">
        <f t="shared" si="1"/>
        <v>303</v>
      </c>
      <c r="G35">
        <f t="shared" si="2"/>
        <v>7.673672588498448E-2</v>
      </c>
      <c r="K35">
        <f t="shared" si="6"/>
        <v>7.673672588498448E-2</v>
      </c>
      <c r="O35">
        <f t="shared" ca="1" si="4"/>
        <v>-3.3086582499637203E-2</v>
      </c>
      <c r="Q35" s="2">
        <f t="shared" si="5"/>
        <v>11748.912</v>
      </c>
    </row>
    <row r="36" spans="1:17" x14ac:dyDescent="0.2">
      <c r="A36" s="56" t="s">
        <v>96</v>
      </c>
      <c r="B36" s="58" t="s">
        <v>45</v>
      </c>
      <c r="C36" s="57">
        <v>26772.294999999998</v>
      </c>
      <c r="D36" s="10"/>
      <c r="E36">
        <f t="shared" si="0"/>
        <v>303.95318132644559</v>
      </c>
      <c r="F36">
        <f t="shared" si="1"/>
        <v>304</v>
      </c>
      <c r="G36">
        <f t="shared" si="2"/>
        <v>-0.24361397799293627</v>
      </c>
      <c r="K36">
        <f t="shared" si="6"/>
        <v>-0.24361397799293627</v>
      </c>
      <c r="O36">
        <f t="shared" ca="1" si="4"/>
        <v>-3.3160138773785257E-2</v>
      </c>
      <c r="Q36" s="2">
        <f t="shared" si="5"/>
        <v>11753.794999999998</v>
      </c>
    </row>
    <row r="37" spans="1:17" x14ac:dyDescent="0.2">
      <c r="A37" s="56" t="s">
        <v>96</v>
      </c>
      <c r="B37" s="58" t="s">
        <v>45</v>
      </c>
      <c r="C37" s="57">
        <v>26793.366999999998</v>
      </c>
      <c r="D37" s="10"/>
      <c r="E37">
        <f t="shared" si="0"/>
        <v>308.00287953039475</v>
      </c>
      <c r="F37">
        <f t="shared" si="1"/>
        <v>308</v>
      </c>
      <c r="G37">
        <f t="shared" si="2"/>
        <v>1.4983206507167779E-2</v>
      </c>
      <c r="K37">
        <f t="shared" si="6"/>
        <v>1.4983206507167779E-2</v>
      </c>
      <c r="O37">
        <f t="shared" ca="1" si="4"/>
        <v>-3.3454363870377479E-2</v>
      </c>
      <c r="Q37" s="2">
        <f t="shared" si="5"/>
        <v>11774.866999999998</v>
      </c>
    </row>
    <row r="38" spans="1:17" x14ac:dyDescent="0.2">
      <c r="A38" s="56" t="s">
        <v>96</v>
      </c>
      <c r="B38" s="58" t="s">
        <v>45</v>
      </c>
      <c r="C38" s="57">
        <v>27126.34</v>
      </c>
      <c r="D38" s="10"/>
      <c r="E38">
        <f t="shared" si="0"/>
        <v>371.99491446127774</v>
      </c>
      <c r="F38">
        <f t="shared" si="1"/>
        <v>372</v>
      </c>
      <c r="G38">
        <f t="shared" si="2"/>
        <v>-2.6461841491254745E-2</v>
      </c>
      <c r="K38">
        <f t="shared" si="6"/>
        <v>-2.6461841491254745E-2</v>
      </c>
      <c r="O38">
        <f t="shared" ca="1" si="4"/>
        <v>-3.816196541585299E-2</v>
      </c>
      <c r="Q38" s="2">
        <f t="shared" si="5"/>
        <v>12107.84</v>
      </c>
    </row>
    <row r="39" spans="1:17" x14ac:dyDescent="0.2">
      <c r="A39" s="56" t="s">
        <v>96</v>
      </c>
      <c r="B39" s="58" t="s">
        <v>45</v>
      </c>
      <c r="C39" s="57">
        <v>27131.306</v>
      </c>
      <c r="D39" s="10"/>
      <c r="E39">
        <f t="shared" si="0"/>
        <v>372.94929948789189</v>
      </c>
      <c r="F39">
        <f t="shared" si="1"/>
        <v>373</v>
      </c>
      <c r="G39">
        <f t="shared" si="2"/>
        <v>-0.26381254536318011</v>
      </c>
      <c r="K39">
        <f t="shared" si="6"/>
        <v>-0.26381254536318011</v>
      </c>
      <c r="O39">
        <f t="shared" ca="1" si="4"/>
        <v>-3.8235521690001051E-2</v>
      </c>
      <c r="Q39" s="2">
        <f t="shared" si="5"/>
        <v>12112.806</v>
      </c>
    </row>
    <row r="40" spans="1:17" x14ac:dyDescent="0.2">
      <c r="A40" s="56" t="s">
        <v>96</v>
      </c>
      <c r="B40" s="58" t="s">
        <v>45</v>
      </c>
      <c r="C40" s="57">
        <v>27147.348999999998</v>
      </c>
      <c r="D40" s="10"/>
      <c r="E40">
        <f t="shared" si="0"/>
        <v>376.03250508232753</v>
      </c>
      <c r="F40">
        <f t="shared" si="1"/>
        <v>376</v>
      </c>
      <c r="G40">
        <f t="shared" si="2"/>
        <v>0.16913534300692845</v>
      </c>
      <c r="K40">
        <f t="shared" si="6"/>
        <v>0.16913534300692845</v>
      </c>
      <c r="O40">
        <f t="shared" ca="1" si="4"/>
        <v>-3.8456190512445212E-2</v>
      </c>
      <c r="Q40" s="2">
        <f t="shared" si="5"/>
        <v>12128.848999999998</v>
      </c>
    </row>
    <row r="41" spans="1:17" x14ac:dyDescent="0.2">
      <c r="A41" s="56" t="s">
        <v>96</v>
      </c>
      <c r="B41" s="58" t="s">
        <v>45</v>
      </c>
      <c r="C41" s="57">
        <v>27365.615000000002</v>
      </c>
      <c r="D41" s="10"/>
      <c r="E41">
        <f t="shared" si="0"/>
        <v>417.97970649572812</v>
      </c>
      <c r="F41">
        <f t="shared" si="1"/>
        <v>418</v>
      </c>
      <c r="G41">
        <f t="shared" si="2"/>
        <v>-0.10559421973812277</v>
      </c>
      <c r="K41">
        <f t="shared" si="6"/>
        <v>-0.10559421973812277</v>
      </c>
      <c r="O41">
        <f t="shared" ca="1" si="4"/>
        <v>-4.1545554026663517E-2</v>
      </c>
      <c r="Q41" s="2">
        <f t="shared" si="5"/>
        <v>12347.115000000002</v>
      </c>
    </row>
    <row r="42" spans="1:17" x14ac:dyDescent="0.2">
      <c r="A42" s="56" t="s">
        <v>96</v>
      </c>
      <c r="B42" s="58" t="s">
        <v>45</v>
      </c>
      <c r="C42" s="57">
        <v>27459.314999999999</v>
      </c>
      <c r="D42" s="10"/>
      <c r="E42">
        <f t="shared" si="0"/>
        <v>435.98733375987121</v>
      </c>
      <c r="F42">
        <f t="shared" si="1"/>
        <v>436</v>
      </c>
      <c r="G42">
        <f t="shared" si="2"/>
        <v>-6.5906889489269815E-2</v>
      </c>
      <c r="K42">
        <f t="shared" si="6"/>
        <v>-6.5906889489269815E-2</v>
      </c>
      <c r="O42">
        <f t="shared" ca="1" si="4"/>
        <v>-4.2869566961328508E-2</v>
      </c>
      <c r="Q42" s="2">
        <f t="shared" si="5"/>
        <v>12440.814999999999</v>
      </c>
    </row>
    <row r="43" spans="1:17" x14ac:dyDescent="0.2">
      <c r="A43" s="56" t="s">
        <v>140</v>
      </c>
      <c r="B43" s="58" t="s">
        <v>45</v>
      </c>
      <c r="C43" s="57">
        <v>27480.143</v>
      </c>
      <c r="D43" s="10"/>
      <c r="E43">
        <f t="shared" si="0"/>
        <v>439.99013910306877</v>
      </c>
      <c r="F43">
        <f t="shared" si="1"/>
        <v>440</v>
      </c>
      <c r="G43">
        <f t="shared" si="2"/>
        <v>-5.1309704987943405E-2</v>
      </c>
      <c r="K43">
        <f t="shared" si="6"/>
        <v>-5.1309704987943405E-2</v>
      </c>
      <c r="O43">
        <f t="shared" ca="1" si="4"/>
        <v>-4.3163792057920723E-2</v>
      </c>
      <c r="Q43" s="2">
        <f t="shared" si="5"/>
        <v>12461.643</v>
      </c>
    </row>
    <row r="44" spans="1:17" x14ac:dyDescent="0.2">
      <c r="A44" s="56" t="s">
        <v>140</v>
      </c>
      <c r="B44" s="58" t="s">
        <v>45</v>
      </c>
      <c r="C44" s="57">
        <v>27485.342000000001</v>
      </c>
      <c r="D44" s="10"/>
      <c r="E44">
        <f t="shared" si="0"/>
        <v>440.98930296802382</v>
      </c>
      <c r="F44">
        <f t="shared" si="1"/>
        <v>441</v>
      </c>
      <c r="G44">
        <f t="shared" si="2"/>
        <v>-5.5660408863332123E-2</v>
      </c>
      <c r="K44">
        <f t="shared" si="6"/>
        <v>-5.5660408863332123E-2</v>
      </c>
      <c r="O44">
        <f t="shared" ca="1" si="4"/>
        <v>-4.3237348332068777E-2</v>
      </c>
      <c r="Q44" s="2">
        <f t="shared" si="5"/>
        <v>12466.842000000001</v>
      </c>
    </row>
    <row r="45" spans="1:17" x14ac:dyDescent="0.2">
      <c r="A45" s="56" t="s">
        <v>140</v>
      </c>
      <c r="B45" s="58" t="s">
        <v>45</v>
      </c>
      <c r="C45" s="57">
        <v>27516.535</v>
      </c>
      <c r="D45" s="10"/>
      <c r="E45">
        <f t="shared" si="0"/>
        <v>446.98409397389815</v>
      </c>
      <c r="F45">
        <f t="shared" si="1"/>
        <v>447</v>
      </c>
      <c r="G45">
        <f t="shared" si="2"/>
        <v>-8.2764632112230174E-2</v>
      </c>
      <c r="K45">
        <f t="shared" si="6"/>
        <v>-8.2764632112230174E-2</v>
      </c>
      <c r="O45">
        <f t="shared" ca="1" si="4"/>
        <v>-4.3678685976957107E-2</v>
      </c>
      <c r="Q45" s="2">
        <f t="shared" si="5"/>
        <v>12498.035</v>
      </c>
    </row>
    <row r="46" spans="1:17" x14ac:dyDescent="0.2">
      <c r="A46" s="56" t="s">
        <v>140</v>
      </c>
      <c r="B46" s="58" t="s">
        <v>45</v>
      </c>
      <c r="C46" s="57">
        <v>27724.703000000001</v>
      </c>
      <c r="D46" s="10"/>
      <c r="E46">
        <f t="shared" si="0"/>
        <v>486.9906228140506</v>
      </c>
      <c r="F46">
        <f t="shared" si="1"/>
        <v>487</v>
      </c>
      <c r="G46">
        <f t="shared" si="2"/>
        <v>-4.879278711086954E-2</v>
      </c>
      <c r="K46">
        <f t="shared" si="6"/>
        <v>-4.879278711086954E-2</v>
      </c>
      <c r="O46">
        <f t="shared" ca="1" si="4"/>
        <v>-4.6620936942879304E-2</v>
      </c>
      <c r="Q46" s="2">
        <f t="shared" si="5"/>
        <v>12706.203000000001</v>
      </c>
    </row>
    <row r="47" spans="1:17" x14ac:dyDescent="0.2">
      <c r="A47" s="56" t="s">
        <v>140</v>
      </c>
      <c r="B47" s="58" t="s">
        <v>45</v>
      </c>
      <c r="C47" s="57">
        <v>27870.403999999999</v>
      </c>
      <c r="D47" s="10"/>
      <c r="E47">
        <f t="shared" si="0"/>
        <v>514.9920027501546</v>
      </c>
      <c r="F47">
        <f t="shared" si="1"/>
        <v>515</v>
      </c>
      <c r="G47">
        <f t="shared" si="2"/>
        <v>-4.1612495613662759E-2</v>
      </c>
      <c r="K47">
        <f t="shared" si="6"/>
        <v>-4.1612495613662759E-2</v>
      </c>
      <c r="O47">
        <f t="shared" ca="1" si="4"/>
        <v>-4.8680512619024841E-2</v>
      </c>
      <c r="Q47" s="2">
        <f t="shared" si="5"/>
        <v>12851.903999999999</v>
      </c>
    </row>
    <row r="48" spans="1:17" x14ac:dyDescent="0.2">
      <c r="A48" s="56" t="s">
        <v>140</v>
      </c>
      <c r="B48" s="58" t="s">
        <v>45</v>
      </c>
      <c r="C48" s="57">
        <v>28026.46</v>
      </c>
      <c r="D48" s="10"/>
      <c r="E48">
        <f t="shared" si="0"/>
        <v>544.98344651038099</v>
      </c>
      <c r="F48">
        <f t="shared" si="1"/>
        <v>545</v>
      </c>
      <c r="G48">
        <f t="shared" si="2"/>
        <v>-8.613361186144175E-2</v>
      </c>
      <c r="K48">
        <f t="shared" si="6"/>
        <v>-8.613361186144175E-2</v>
      </c>
      <c r="O48">
        <f t="shared" ca="1" si="4"/>
        <v>-5.0887200843466492E-2</v>
      </c>
      <c r="Q48" s="2">
        <f t="shared" si="5"/>
        <v>13007.96</v>
      </c>
    </row>
    <row r="49" spans="1:17" x14ac:dyDescent="0.2">
      <c r="A49" s="56" t="s">
        <v>140</v>
      </c>
      <c r="B49" s="58" t="s">
        <v>45</v>
      </c>
      <c r="C49" s="57">
        <v>28073.309000000001</v>
      </c>
      <c r="D49" s="10"/>
      <c r="E49">
        <f t="shared" si="0"/>
        <v>553.98706795859766</v>
      </c>
      <c r="F49">
        <f t="shared" si="1"/>
        <v>554</v>
      </c>
      <c r="G49">
        <f t="shared" si="2"/>
        <v>-6.7289946731762029E-2</v>
      </c>
      <c r="K49">
        <f t="shared" si="6"/>
        <v>-6.7289946731762029E-2</v>
      </c>
      <c r="O49">
        <f t="shared" ca="1" si="4"/>
        <v>-5.1549207310798983E-2</v>
      </c>
      <c r="Q49" s="2">
        <f t="shared" si="5"/>
        <v>13054.809000000001</v>
      </c>
    </row>
    <row r="50" spans="1:17" x14ac:dyDescent="0.2">
      <c r="A50" s="56" t="s">
        <v>140</v>
      </c>
      <c r="B50" s="58" t="s">
        <v>45</v>
      </c>
      <c r="C50" s="57">
        <v>28151.314999999999</v>
      </c>
      <c r="D50" s="10"/>
      <c r="E50">
        <f t="shared" si="0"/>
        <v>568.97856179388839</v>
      </c>
      <c r="F50">
        <f t="shared" si="1"/>
        <v>569</v>
      </c>
      <c r="G50">
        <f t="shared" si="2"/>
        <v>-0.1115505048619525</v>
      </c>
      <c r="K50">
        <f t="shared" si="6"/>
        <v>-0.1115505048619525</v>
      </c>
      <c r="O50">
        <f t="shared" ca="1" si="4"/>
        <v>-5.2652551423019806E-2</v>
      </c>
      <c r="Q50" s="2">
        <f t="shared" si="5"/>
        <v>13132.814999999999</v>
      </c>
    </row>
    <row r="51" spans="1:17" x14ac:dyDescent="0.2">
      <c r="A51" s="56" t="s">
        <v>140</v>
      </c>
      <c r="B51" s="58" t="s">
        <v>45</v>
      </c>
      <c r="C51" s="57">
        <v>28250.225999999999</v>
      </c>
      <c r="D51" s="10"/>
      <c r="E51">
        <f t="shared" si="0"/>
        <v>587.98765912925353</v>
      </c>
      <c r="F51">
        <f t="shared" si="1"/>
        <v>588</v>
      </c>
      <c r="G51">
        <f t="shared" si="2"/>
        <v>-6.4213878486043541E-2</v>
      </c>
      <c r="K51">
        <f t="shared" si="6"/>
        <v>-6.4213878486043541E-2</v>
      </c>
      <c r="O51">
        <f t="shared" ca="1" si="4"/>
        <v>-5.405012063183285E-2</v>
      </c>
      <c r="Q51" s="2">
        <f t="shared" si="5"/>
        <v>13231.725999999999</v>
      </c>
    </row>
    <row r="52" spans="1:17" x14ac:dyDescent="0.2">
      <c r="A52" s="56" t="s">
        <v>96</v>
      </c>
      <c r="B52" s="58" t="s">
        <v>45</v>
      </c>
      <c r="C52" s="57">
        <v>28250.324000000001</v>
      </c>
      <c r="D52" s="10"/>
      <c r="E52">
        <f t="shared" si="0"/>
        <v>588.00649314709688</v>
      </c>
      <c r="F52">
        <f t="shared" si="1"/>
        <v>588</v>
      </c>
      <c r="G52">
        <f t="shared" si="2"/>
        <v>3.3786121515731793E-2</v>
      </c>
      <c r="K52">
        <f t="shared" si="6"/>
        <v>3.3786121515731793E-2</v>
      </c>
      <c r="O52">
        <f t="shared" ca="1" si="4"/>
        <v>-5.405012063183285E-2</v>
      </c>
      <c r="Q52" s="2">
        <f t="shared" si="5"/>
        <v>13231.824000000001</v>
      </c>
    </row>
    <row r="53" spans="1:17" x14ac:dyDescent="0.2">
      <c r="A53" s="56" t="s">
        <v>96</v>
      </c>
      <c r="B53" s="58" t="s">
        <v>45</v>
      </c>
      <c r="C53" s="57">
        <v>28947.316999999999</v>
      </c>
      <c r="D53" s="10"/>
      <c r="E53">
        <f t="shared" ref="E53:E77" si="7">+(C53-C$7)/C$8</f>
        <v>721.95729517182747</v>
      </c>
      <c r="F53">
        <f t="shared" ref="F53:F77" si="8">ROUND(2*E53,0)/2</f>
        <v>722</v>
      </c>
      <c r="G53">
        <f t="shared" ref="G53:G77" si="9">+C53-(C$7+F53*C$8)</f>
        <v>-0.22220819773065159</v>
      </c>
      <c r="K53">
        <f t="shared" si="6"/>
        <v>-0.22220819773065159</v>
      </c>
      <c r="O53">
        <f t="shared" ref="O53:O77" ca="1" si="10">+C$11+C$12*$F53</f>
        <v>-6.3906661367672202E-2</v>
      </c>
      <c r="Q53" s="2">
        <f t="shared" ref="Q53:Q77" si="11">+C53-15018.5</f>
        <v>13928.816999999999</v>
      </c>
    </row>
    <row r="54" spans="1:17" x14ac:dyDescent="0.2">
      <c r="A54" s="56" t="s">
        <v>174</v>
      </c>
      <c r="B54" s="58" t="s">
        <v>45</v>
      </c>
      <c r="C54" s="57">
        <v>29004.757000000001</v>
      </c>
      <c r="D54" s="10"/>
      <c r="E54">
        <f t="shared" si="7"/>
        <v>732.99633583407342</v>
      </c>
      <c r="F54">
        <f t="shared" si="8"/>
        <v>733</v>
      </c>
      <c r="G54">
        <f t="shared" si="9"/>
        <v>-1.9065940352447797E-2</v>
      </c>
      <c r="K54">
        <f t="shared" si="6"/>
        <v>-1.9065940352447797E-2</v>
      </c>
      <c r="O54">
        <f t="shared" ca="1" si="10"/>
        <v>-6.4715780383300808E-2</v>
      </c>
      <c r="Q54" s="2">
        <f t="shared" si="11"/>
        <v>13986.257000000001</v>
      </c>
    </row>
    <row r="55" spans="1:17" x14ac:dyDescent="0.2">
      <c r="A55" s="56" t="s">
        <v>179</v>
      </c>
      <c r="B55" s="58" t="s">
        <v>43</v>
      </c>
      <c r="C55" s="57">
        <v>30079.42</v>
      </c>
      <c r="D55" s="10"/>
      <c r="E55">
        <f t="shared" si="7"/>
        <v>939.52921458077958</v>
      </c>
      <c r="F55">
        <f t="shared" si="8"/>
        <v>939.5</v>
      </c>
      <c r="G55">
        <f t="shared" si="9"/>
        <v>0.1520137094630627</v>
      </c>
      <c r="K55">
        <f t="shared" si="6"/>
        <v>0.1520137094630627</v>
      </c>
      <c r="O55">
        <f t="shared" ca="1" si="10"/>
        <v>-7.990515099487415E-2</v>
      </c>
      <c r="Q55" s="2">
        <f t="shared" si="11"/>
        <v>15060.919999999998</v>
      </c>
    </row>
    <row r="56" spans="1:17" x14ac:dyDescent="0.2">
      <c r="A56" s="56" t="s">
        <v>183</v>
      </c>
      <c r="B56" s="58" t="s">
        <v>45</v>
      </c>
      <c r="C56" s="57">
        <v>33318.245999999999</v>
      </c>
      <c r="D56" s="10"/>
      <c r="E56">
        <f t="shared" si="7"/>
        <v>1561.9792826855539</v>
      </c>
      <c r="F56">
        <f t="shared" si="8"/>
        <v>1562</v>
      </c>
      <c r="G56">
        <f t="shared" si="9"/>
        <v>-0.10779945270769531</v>
      </c>
      <c r="K56">
        <f t="shared" si="6"/>
        <v>-0.10779945270769531</v>
      </c>
      <c r="O56">
        <f t="shared" ca="1" si="10"/>
        <v>-0.12569393165203835</v>
      </c>
      <c r="Q56" s="2">
        <f t="shared" si="11"/>
        <v>18299.745999999999</v>
      </c>
    </row>
    <row r="57" spans="1:17" x14ac:dyDescent="0.2">
      <c r="A57" s="56" t="s">
        <v>187</v>
      </c>
      <c r="B57" s="58" t="s">
        <v>45</v>
      </c>
      <c r="C57" s="57">
        <v>33583.623</v>
      </c>
      <c r="D57" s="10"/>
      <c r="E57">
        <f t="shared" si="7"/>
        <v>1612.9804577173218</v>
      </c>
      <c r="F57">
        <f t="shared" si="8"/>
        <v>1613</v>
      </c>
      <c r="G57">
        <f t="shared" si="9"/>
        <v>-0.10168535033153603</v>
      </c>
      <c r="K57">
        <f t="shared" si="6"/>
        <v>-0.10168535033153603</v>
      </c>
      <c r="O57">
        <f t="shared" ca="1" si="10"/>
        <v>-0.12944530163358914</v>
      </c>
      <c r="Q57" s="2">
        <f t="shared" si="11"/>
        <v>18565.123</v>
      </c>
    </row>
    <row r="58" spans="1:17" x14ac:dyDescent="0.2">
      <c r="A58" s="56" t="s">
        <v>191</v>
      </c>
      <c r="B58" s="58" t="s">
        <v>45</v>
      </c>
      <c r="C58" s="57">
        <v>33594.03</v>
      </c>
      <c r="D58" s="10"/>
      <c r="E58">
        <f t="shared" si="7"/>
        <v>1614.9805151019316</v>
      </c>
      <c r="F58">
        <f t="shared" si="8"/>
        <v>1615</v>
      </c>
      <c r="G58">
        <f t="shared" si="9"/>
        <v>-0.10138675807684194</v>
      </c>
      <c r="K58">
        <f t="shared" si="6"/>
        <v>-0.10138675807684194</v>
      </c>
      <c r="O58">
        <f t="shared" ca="1" si="10"/>
        <v>-0.12959241418188525</v>
      </c>
      <c r="Q58" s="2">
        <f t="shared" si="11"/>
        <v>18575.53</v>
      </c>
    </row>
    <row r="59" spans="1:17" x14ac:dyDescent="0.2">
      <c r="A59" s="56" t="s">
        <v>187</v>
      </c>
      <c r="B59" s="58" t="s">
        <v>45</v>
      </c>
      <c r="C59" s="57">
        <v>33630.381999999998</v>
      </c>
      <c r="D59" s="10"/>
      <c r="E59">
        <f t="shared" si="7"/>
        <v>1621.9667826185391</v>
      </c>
      <c r="F59">
        <f t="shared" si="8"/>
        <v>1622</v>
      </c>
      <c r="G59">
        <f t="shared" si="9"/>
        <v>-0.17284168520563981</v>
      </c>
      <c r="K59">
        <f t="shared" si="6"/>
        <v>-0.17284168520563981</v>
      </c>
      <c r="O59">
        <f t="shared" ca="1" si="10"/>
        <v>-0.13010730810092164</v>
      </c>
      <c r="Q59" s="2">
        <f t="shared" si="11"/>
        <v>18611.881999999998</v>
      </c>
    </row>
    <row r="60" spans="1:17" x14ac:dyDescent="0.2">
      <c r="A60" s="56" t="s">
        <v>174</v>
      </c>
      <c r="B60" s="58" t="s">
        <v>45</v>
      </c>
      <c r="C60" s="57">
        <v>34140.358999999997</v>
      </c>
      <c r="D60" s="10"/>
      <c r="E60">
        <f t="shared" si="7"/>
        <v>1719.97612871551</v>
      </c>
      <c r="F60">
        <f t="shared" si="8"/>
        <v>1720</v>
      </c>
      <c r="G60">
        <f t="shared" si="9"/>
        <v>-0.12421066495153354</v>
      </c>
      <c r="K60">
        <f t="shared" si="6"/>
        <v>-0.12421066495153354</v>
      </c>
      <c r="O60">
        <f t="shared" ca="1" si="10"/>
        <v>-0.137315822967431</v>
      </c>
      <c r="Q60" s="2">
        <f t="shared" si="11"/>
        <v>19121.858999999997</v>
      </c>
    </row>
    <row r="61" spans="1:17" x14ac:dyDescent="0.2">
      <c r="A61" s="56" t="s">
        <v>174</v>
      </c>
      <c r="B61" s="58" t="s">
        <v>45</v>
      </c>
      <c r="C61" s="57">
        <v>37267.523999999998</v>
      </c>
      <c r="D61" s="10"/>
      <c r="E61">
        <f t="shared" si="7"/>
        <v>2320.9667553267782</v>
      </c>
      <c r="F61">
        <f t="shared" si="8"/>
        <v>2321</v>
      </c>
      <c r="G61">
        <f t="shared" si="9"/>
        <v>-0.17298369381023804</v>
      </c>
      <c r="K61">
        <f t="shared" si="6"/>
        <v>-0.17298369381023804</v>
      </c>
      <c r="O61">
        <f t="shared" ca="1" si="10"/>
        <v>-0.18152314373041201</v>
      </c>
      <c r="Q61" s="2">
        <f t="shared" si="11"/>
        <v>22249.023999999998</v>
      </c>
    </row>
    <row r="62" spans="1:17" x14ac:dyDescent="0.2">
      <c r="A62" s="56" t="s">
        <v>203</v>
      </c>
      <c r="B62" s="58" t="s">
        <v>45</v>
      </c>
      <c r="C62" s="57">
        <v>37319.466</v>
      </c>
      <c r="D62" s="10"/>
      <c r="E62">
        <f t="shared" si="7"/>
        <v>2330.9491691512626</v>
      </c>
      <c r="F62">
        <f t="shared" si="8"/>
        <v>2331</v>
      </c>
      <c r="G62">
        <f t="shared" si="9"/>
        <v>-0.26449073255935218</v>
      </c>
      <c r="K62">
        <f t="shared" si="6"/>
        <v>-0.26449073255935218</v>
      </c>
      <c r="O62">
        <f t="shared" ca="1" si="10"/>
        <v>-0.18225870647189257</v>
      </c>
      <c r="Q62" s="2">
        <f t="shared" si="11"/>
        <v>22300.966</v>
      </c>
    </row>
    <row r="63" spans="1:17" x14ac:dyDescent="0.2">
      <c r="A63" s="56" t="s">
        <v>208</v>
      </c>
      <c r="B63" s="58" t="s">
        <v>45</v>
      </c>
      <c r="C63" s="57">
        <v>37366.288</v>
      </c>
      <c r="D63" s="10"/>
      <c r="E63">
        <f t="shared" si="7"/>
        <v>2339.9476016353792</v>
      </c>
      <c r="F63">
        <f t="shared" si="8"/>
        <v>2340</v>
      </c>
      <c r="G63">
        <f t="shared" si="9"/>
        <v>-0.27264706743153511</v>
      </c>
      <c r="K63">
        <f t="shared" si="6"/>
        <v>-0.27264706743153511</v>
      </c>
      <c r="O63">
        <f t="shared" ca="1" si="10"/>
        <v>-0.18292071293922507</v>
      </c>
      <c r="Q63" s="2">
        <f t="shared" si="11"/>
        <v>22347.788</v>
      </c>
    </row>
    <row r="64" spans="1:17" x14ac:dyDescent="0.2">
      <c r="A64" s="56" t="s">
        <v>208</v>
      </c>
      <c r="B64" s="58" t="s">
        <v>45</v>
      </c>
      <c r="C64" s="57">
        <v>37579.591</v>
      </c>
      <c r="D64" s="10"/>
      <c r="E64">
        <f t="shared" si="7"/>
        <v>2380.940994573732</v>
      </c>
      <c r="F64">
        <f t="shared" si="8"/>
        <v>2381</v>
      </c>
      <c r="G64">
        <f t="shared" si="9"/>
        <v>-0.30702592630404979</v>
      </c>
      <c r="K64">
        <f t="shared" si="6"/>
        <v>-0.30702592630404979</v>
      </c>
      <c r="O64">
        <f t="shared" ca="1" si="10"/>
        <v>-0.18593652017929529</v>
      </c>
      <c r="Q64" s="2">
        <f t="shared" si="11"/>
        <v>22561.091</v>
      </c>
    </row>
    <row r="65" spans="1:17" x14ac:dyDescent="0.2">
      <c r="A65" s="56" t="s">
        <v>203</v>
      </c>
      <c r="B65" s="58" t="s">
        <v>45</v>
      </c>
      <c r="C65" s="57">
        <v>38084.400999999998</v>
      </c>
      <c r="D65" s="10"/>
      <c r="E65">
        <f t="shared" si="7"/>
        <v>2477.9573266891248</v>
      </c>
      <c r="F65">
        <f t="shared" si="8"/>
        <v>2478</v>
      </c>
      <c r="G65">
        <f t="shared" si="9"/>
        <v>-0.22204420217894949</v>
      </c>
      <c r="K65">
        <f t="shared" si="6"/>
        <v>-0.22204420217894949</v>
      </c>
      <c r="O65">
        <f t="shared" ca="1" si="10"/>
        <v>-0.19307147877165665</v>
      </c>
      <c r="Q65" s="2">
        <f t="shared" si="11"/>
        <v>23065.900999999998</v>
      </c>
    </row>
    <row r="66" spans="1:17" x14ac:dyDescent="0.2">
      <c r="A66" s="56" t="s">
        <v>203</v>
      </c>
      <c r="B66" s="58" t="s">
        <v>45</v>
      </c>
      <c r="C66" s="57">
        <v>38412.245000000003</v>
      </c>
      <c r="D66" s="10"/>
      <c r="E66">
        <f t="shared" si="7"/>
        <v>2540.9636506249412</v>
      </c>
      <c r="F66">
        <f t="shared" si="8"/>
        <v>2541</v>
      </c>
      <c r="G66">
        <f t="shared" si="9"/>
        <v>-0.18913854630227434</v>
      </c>
      <c r="K66">
        <f t="shared" si="6"/>
        <v>-0.18913854630227434</v>
      </c>
      <c r="O66">
        <f t="shared" ca="1" si="10"/>
        <v>-0.19770552404298408</v>
      </c>
      <c r="Q66" s="2">
        <f t="shared" si="11"/>
        <v>23393.745000000003</v>
      </c>
    </row>
    <row r="67" spans="1:17" x14ac:dyDescent="0.2">
      <c r="A67" s="56" t="s">
        <v>203</v>
      </c>
      <c r="B67" s="58" t="s">
        <v>45</v>
      </c>
      <c r="C67" s="57">
        <v>41331.311999999998</v>
      </c>
      <c r="D67" s="10"/>
      <c r="E67">
        <f t="shared" si="7"/>
        <v>3101.9612012659436</v>
      </c>
      <c r="F67">
        <f t="shared" si="8"/>
        <v>3102</v>
      </c>
      <c r="G67">
        <f t="shared" si="9"/>
        <v>-0.20188342015899252</v>
      </c>
      <c r="K67">
        <f t="shared" si="6"/>
        <v>-0.20188342015899252</v>
      </c>
      <c r="O67">
        <f t="shared" ca="1" si="10"/>
        <v>-0.23897059384004288</v>
      </c>
      <c r="Q67" s="2">
        <f t="shared" si="11"/>
        <v>26312.811999999998</v>
      </c>
    </row>
    <row r="68" spans="1:17" x14ac:dyDescent="0.2">
      <c r="A68" s="56" t="s">
        <v>225</v>
      </c>
      <c r="B68" s="58" t="s">
        <v>45</v>
      </c>
      <c r="C68" s="57">
        <v>41721.4</v>
      </c>
      <c r="D68" s="10"/>
      <c r="E68">
        <f t="shared" si="7"/>
        <v>3176.9298171060223</v>
      </c>
      <c r="F68">
        <f t="shared" si="8"/>
        <v>3177</v>
      </c>
      <c r="G68">
        <f t="shared" si="9"/>
        <v>-0.36518621077993885</v>
      </c>
      <c r="K68">
        <f t="shared" si="6"/>
        <v>-0.36518621077993885</v>
      </c>
      <c r="O68">
        <f t="shared" ca="1" si="10"/>
        <v>-0.24448731440114702</v>
      </c>
      <c r="Q68" s="2">
        <f t="shared" si="11"/>
        <v>26702.9</v>
      </c>
    </row>
    <row r="69" spans="1:17" x14ac:dyDescent="0.2">
      <c r="A69" s="56" t="s">
        <v>203</v>
      </c>
      <c r="B69" s="58" t="s">
        <v>45</v>
      </c>
      <c r="C69" s="57">
        <v>42460.364000000001</v>
      </c>
      <c r="D69" s="10"/>
      <c r="E69">
        <f t="shared" si="7"/>
        <v>3318.9467677316425</v>
      </c>
      <c r="F69">
        <f t="shared" si="8"/>
        <v>3319</v>
      </c>
      <c r="G69">
        <f t="shared" si="9"/>
        <v>-0.27698616102861706</v>
      </c>
      <c r="K69">
        <f t="shared" si="6"/>
        <v>-0.27698616102861706</v>
      </c>
      <c r="O69">
        <f t="shared" ca="1" si="10"/>
        <v>-0.25493230533017081</v>
      </c>
      <c r="Q69" s="2">
        <f t="shared" si="11"/>
        <v>27441.864000000001</v>
      </c>
    </row>
    <row r="70" spans="1:17" x14ac:dyDescent="0.2">
      <c r="A70" s="56" t="s">
        <v>233</v>
      </c>
      <c r="B70" s="58" t="s">
        <v>45</v>
      </c>
      <c r="C70" s="57">
        <v>47169.4</v>
      </c>
      <c r="D70" s="10"/>
      <c r="E70">
        <f t="shared" si="7"/>
        <v>4223.9474620905967</v>
      </c>
      <c r="F70">
        <f t="shared" si="8"/>
        <v>4224</v>
      </c>
      <c r="G70">
        <f t="shared" si="9"/>
        <v>-0.27337316787452437</v>
      </c>
      <c r="K70">
        <f t="shared" si="6"/>
        <v>-0.27337316787452437</v>
      </c>
      <c r="O70">
        <f t="shared" ca="1" si="10"/>
        <v>-0.32150073343416047</v>
      </c>
      <c r="Q70" s="2">
        <f t="shared" si="11"/>
        <v>32150.9</v>
      </c>
    </row>
    <row r="71" spans="1:17" x14ac:dyDescent="0.2">
      <c r="A71" s="56" t="s">
        <v>238</v>
      </c>
      <c r="B71" s="58" t="s">
        <v>45</v>
      </c>
      <c r="C71" s="57">
        <v>52648.43</v>
      </c>
      <c r="D71" s="10"/>
      <c r="E71">
        <f t="shared" si="7"/>
        <v>5276.9285721125925</v>
      </c>
      <c r="F71">
        <f t="shared" si="8"/>
        <v>5277</v>
      </c>
      <c r="G71">
        <f t="shared" si="9"/>
        <v>-0.37166434821847361</v>
      </c>
      <c r="K71">
        <f t="shared" si="6"/>
        <v>-0.37166434821847361</v>
      </c>
      <c r="O71">
        <f t="shared" ca="1" si="10"/>
        <v>-0.39895549011206233</v>
      </c>
      <c r="Q71" s="2">
        <f t="shared" si="11"/>
        <v>37629.93</v>
      </c>
    </row>
    <row r="72" spans="1:17" x14ac:dyDescent="0.2">
      <c r="A72" t="s">
        <v>33</v>
      </c>
      <c r="C72" s="10">
        <v>53715.1</v>
      </c>
      <c r="D72" s="10">
        <v>0.02</v>
      </c>
      <c r="E72">
        <f t="shared" si="7"/>
        <v>5481.9253253019633</v>
      </c>
      <c r="F72">
        <f t="shared" si="8"/>
        <v>5482</v>
      </c>
      <c r="G72">
        <f t="shared" si="9"/>
        <v>-0.38855864258948714</v>
      </c>
      <c r="I72">
        <f>+G72</f>
        <v>-0.38855864258948714</v>
      </c>
      <c r="O72">
        <f t="shared" ca="1" si="10"/>
        <v>-0.41403452631241355</v>
      </c>
      <c r="Q72" s="2">
        <f t="shared" si="11"/>
        <v>38696.6</v>
      </c>
    </row>
    <row r="73" spans="1:17" x14ac:dyDescent="0.2">
      <c r="A73" s="36" t="s">
        <v>46</v>
      </c>
      <c r="B73" s="37"/>
      <c r="C73" s="36">
        <v>53715.1</v>
      </c>
      <c r="D73" s="36">
        <v>0.2</v>
      </c>
      <c r="E73">
        <f t="shared" si="7"/>
        <v>5481.9253253019633</v>
      </c>
      <c r="F73">
        <f t="shared" si="8"/>
        <v>5482</v>
      </c>
      <c r="G73">
        <f t="shared" si="9"/>
        <v>-0.38855864258948714</v>
      </c>
      <c r="I73">
        <f>+G73</f>
        <v>-0.38855864258948714</v>
      </c>
      <c r="O73">
        <f t="shared" ca="1" si="10"/>
        <v>-0.41403452631241355</v>
      </c>
      <c r="Q73" s="2">
        <f t="shared" si="11"/>
        <v>38696.6</v>
      </c>
    </row>
    <row r="74" spans="1:17" x14ac:dyDescent="0.2">
      <c r="A74" s="30" t="s">
        <v>42</v>
      </c>
      <c r="B74" s="31" t="s">
        <v>43</v>
      </c>
      <c r="C74" s="32">
        <v>54097.45811</v>
      </c>
      <c r="D74" s="32">
        <v>2.8E-3</v>
      </c>
      <c r="E74">
        <f t="shared" si="7"/>
        <v>5555.408381078938</v>
      </c>
      <c r="F74">
        <f t="shared" si="8"/>
        <v>5555.5</v>
      </c>
      <c r="G74">
        <f t="shared" si="9"/>
        <v>-0.47672537739708787</v>
      </c>
      <c r="I74">
        <f>+G74</f>
        <v>-0.47672537739708787</v>
      </c>
      <c r="O74">
        <f t="shared" ca="1" si="10"/>
        <v>-0.41944091246229559</v>
      </c>
      <c r="Q74" s="2">
        <f t="shared" si="11"/>
        <v>39078.95811</v>
      </c>
    </row>
    <row r="75" spans="1:17" x14ac:dyDescent="0.2">
      <c r="A75" s="34" t="s">
        <v>44</v>
      </c>
      <c r="B75" s="35" t="s">
        <v>45</v>
      </c>
      <c r="C75" s="36">
        <v>54516.431100000002</v>
      </c>
      <c r="D75" s="36">
        <v>5.9999999999999995E-4</v>
      </c>
      <c r="E75">
        <f t="shared" si="7"/>
        <v>5635.9282256644638</v>
      </c>
      <c r="F75">
        <f t="shared" si="8"/>
        <v>5636</v>
      </c>
      <c r="G75">
        <f t="shared" si="9"/>
        <v>-0.37346703933144454</v>
      </c>
      <c r="J75">
        <f>+G75</f>
        <v>-0.37346703933144454</v>
      </c>
      <c r="O75">
        <f t="shared" ca="1" si="10"/>
        <v>-0.42536219253121405</v>
      </c>
      <c r="Q75" s="2">
        <f t="shared" si="11"/>
        <v>39497.931100000002</v>
      </c>
    </row>
    <row r="76" spans="1:17" x14ac:dyDescent="0.2">
      <c r="A76" s="38" t="s">
        <v>47</v>
      </c>
      <c r="B76" s="39" t="s">
        <v>45</v>
      </c>
      <c r="C76" s="38">
        <v>55640.341469999999</v>
      </c>
      <c r="D76" s="38">
        <v>7.3999999999999999E-4</v>
      </c>
      <c r="E76">
        <f t="shared" si="7"/>
        <v>5851.9256538529989</v>
      </c>
      <c r="F76">
        <f t="shared" si="8"/>
        <v>5852</v>
      </c>
      <c r="G76">
        <f t="shared" si="9"/>
        <v>-0.3868490763270529</v>
      </c>
      <c r="J76">
        <f>+G76</f>
        <v>-0.3868490763270529</v>
      </c>
      <c r="O76">
        <f t="shared" ca="1" si="10"/>
        <v>-0.44125034774719391</v>
      </c>
      <c r="Q76" s="2">
        <f t="shared" si="11"/>
        <v>40621.841469999999</v>
      </c>
    </row>
    <row r="77" spans="1:17" x14ac:dyDescent="0.2">
      <c r="A77" s="40" t="s">
        <v>50</v>
      </c>
      <c r="B77" s="41" t="s">
        <v>45</v>
      </c>
      <c r="C77" s="42">
        <v>57024.413999999997</v>
      </c>
      <c r="D77" s="42">
        <v>0.01</v>
      </c>
      <c r="E77">
        <f t="shared" si="7"/>
        <v>6117.9220490160751</v>
      </c>
      <c r="F77">
        <f t="shared" si="8"/>
        <v>6118</v>
      </c>
      <c r="G77">
        <f t="shared" si="9"/>
        <v>-0.40560630706750089</v>
      </c>
      <c r="I77">
        <f>+G77</f>
        <v>-0.40560630706750089</v>
      </c>
      <c r="O77">
        <f t="shared" ca="1" si="10"/>
        <v>-0.46081631667057649</v>
      </c>
      <c r="Q77" s="2">
        <f t="shared" si="11"/>
        <v>42005.913999999997</v>
      </c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C88" s="10"/>
      <c r="D88" s="10"/>
    </row>
    <row r="89" spans="2:4" x14ac:dyDescent="0.2">
      <c r="C89" s="10"/>
      <c r="D89" s="10"/>
    </row>
    <row r="90" spans="2:4" x14ac:dyDescent="0.2">
      <c r="C90" s="10"/>
      <c r="D90" s="10"/>
    </row>
    <row r="91" spans="2:4" x14ac:dyDescent="0.2">
      <c r="C91" s="10"/>
      <c r="D91" s="10"/>
    </row>
    <row r="92" spans="2:4" x14ac:dyDescent="0.2">
      <c r="C92" s="10"/>
      <c r="D92" s="10"/>
    </row>
    <row r="93" spans="2:4" x14ac:dyDescent="0.2">
      <c r="C93" s="10"/>
      <c r="D93" s="10"/>
    </row>
    <row r="94" spans="2:4" x14ac:dyDescent="0.2">
      <c r="C94" s="10"/>
      <c r="D94" s="10"/>
    </row>
    <row r="95" spans="2:4" x14ac:dyDescent="0.2"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workbookViewId="0">
      <selection activeCell="F22" sqref="F2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25</v>
      </c>
      <c r="B2" s="11" t="s">
        <v>32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25190.720000000001</v>
      </c>
      <c r="D4" s="9">
        <v>5.203265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25190.720000000001</v>
      </c>
    </row>
    <row r="8" spans="1:7" x14ac:dyDescent="0.2">
      <c r="A8" t="s">
        <v>3</v>
      </c>
      <c r="C8">
        <f>+D4</f>
        <v>5.203265</v>
      </c>
    </row>
    <row r="9" spans="1:7" x14ac:dyDescent="0.2">
      <c r="A9" s="12" t="s">
        <v>35</v>
      </c>
      <c r="B9" s="13"/>
      <c r="C9" s="14">
        <v>8</v>
      </c>
      <c r="D9" s="13" t="s">
        <v>36</v>
      </c>
      <c r="E9" s="13"/>
    </row>
    <row r="10" spans="1:7" ht="13.5" thickBot="1" x14ac:dyDescent="0.25">
      <c r="A10" s="13"/>
      <c r="B10" s="13"/>
      <c r="C10" s="4" t="s">
        <v>21</v>
      </c>
      <c r="D10" s="4" t="s">
        <v>22</v>
      </c>
      <c r="E10" s="13"/>
    </row>
    <row r="11" spans="1:7" x14ac:dyDescent="0.2">
      <c r="A11" s="13" t="s">
        <v>16</v>
      </c>
      <c r="B11" s="13"/>
      <c r="C11" s="15">
        <f ca="1">INTERCEPT(INDIRECT($G$11):G992,INDIRECT($F$11):F992)</f>
        <v>-5.6101781293525415</v>
      </c>
      <c r="D11" s="3"/>
      <c r="E11" s="13"/>
      <c r="F11" s="16" t="str">
        <f>"F"&amp;E19</f>
        <v>F22</v>
      </c>
      <c r="G11" s="17" t="str">
        <f>"G"&amp;E19</f>
        <v>G22</v>
      </c>
    </row>
    <row r="12" spans="1:7" x14ac:dyDescent="0.2">
      <c r="A12" s="13" t="s">
        <v>17</v>
      </c>
      <c r="B12" s="13"/>
      <c r="C12" s="15">
        <f ca="1">SLOPE(INDIRECT($G$11):G992,INDIRECT($F$11):F992)</f>
        <v>8.5703874970204907E-5</v>
      </c>
      <c r="D12" s="3"/>
      <c r="E12" s="13"/>
    </row>
    <row r="13" spans="1:7" x14ac:dyDescent="0.2">
      <c r="A13" s="13" t="s">
        <v>20</v>
      </c>
      <c r="B13" s="13"/>
      <c r="C13" s="3" t="s">
        <v>14</v>
      </c>
      <c r="D13" s="3"/>
      <c r="E13" s="13"/>
    </row>
    <row r="14" spans="1:7" x14ac:dyDescent="0.2">
      <c r="A14" s="13"/>
      <c r="B14" s="13"/>
      <c r="C14" s="13"/>
      <c r="D14" s="13"/>
      <c r="E14" s="13"/>
    </row>
    <row r="15" spans="1:7" x14ac:dyDescent="0.2">
      <c r="A15" s="18" t="s">
        <v>18</v>
      </c>
      <c r="B15" s="13"/>
      <c r="C15" s="19">
        <f ca="1">(C7+C11)+(C8+C12)*INT(MAX(F21:F3533))</f>
        <v>54516.397739613858</v>
      </c>
      <c r="D15" s="20" t="s">
        <v>37</v>
      </c>
      <c r="E15" s="21">
        <f ca="1">TODAY()+15018.5-B9/24</f>
        <v>60370.5</v>
      </c>
    </row>
    <row r="16" spans="1:7" x14ac:dyDescent="0.2">
      <c r="A16" s="22" t="s">
        <v>4</v>
      </c>
      <c r="B16" s="13"/>
      <c r="C16" s="23">
        <f ca="1">+C8+C12</f>
        <v>5.2033507038749702</v>
      </c>
      <c r="D16" s="20" t="s">
        <v>38</v>
      </c>
      <c r="E16" s="21">
        <f ca="1">ROUND(2*(E15-C15)/C16,0)/2+1</f>
        <v>1126</v>
      </c>
    </row>
    <row r="17" spans="1:17" ht="13.5" thickBot="1" x14ac:dyDescent="0.25">
      <c r="A17" s="20" t="s">
        <v>30</v>
      </c>
      <c r="B17" s="13"/>
      <c r="C17" s="13">
        <f>COUNT(C21:C2191)</f>
        <v>5</v>
      </c>
      <c r="D17" s="20" t="s">
        <v>39</v>
      </c>
      <c r="E17" s="24">
        <f ca="1">+C15+C16*E16-15018.5-C9/24</f>
        <v>45356.537298843738</v>
      </c>
    </row>
    <row r="18" spans="1:17" ht="14.25" thickTop="1" thickBot="1" x14ac:dyDescent="0.25">
      <c r="A18" s="22" t="s">
        <v>5</v>
      </c>
      <c r="B18" s="13"/>
      <c r="C18" s="25">
        <f ca="1">+C15</f>
        <v>54516.397739613858</v>
      </c>
      <c r="D18" s="26">
        <f ca="1">+C16</f>
        <v>5.2033507038749702</v>
      </c>
      <c r="E18" s="27" t="s">
        <v>40</v>
      </c>
    </row>
    <row r="19" spans="1:17" ht="13.5" thickTop="1" x14ac:dyDescent="0.2">
      <c r="A19" s="28" t="s">
        <v>41</v>
      </c>
      <c r="E19" s="29">
        <v>22</v>
      </c>
      <c r="F19">
        <v>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34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25190.720000000001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-5.6101781293525415</v>
      </c>
      <c r="Q21" s="2">
        <f>+C21-15018.5</f>
        <v>10172.220000000001</v>
      </c>
    </row>
    <row r="22" spans="1:17" x14ac:dyDescent="0.2">
      <c r="A22" t="s">
        <v>33</v>
      </c>
      <c r="C22" s="10">
        <v>53715.1</v>
      </c>
      <c r="D22" s="10">
        <v>0.02</v>
      </c>
      <c r="E22">
        <f>+(C22-C$7)/C$8</f>
        <v>5482.015619039199</v>
      </c>
      <c r="F22" s="33">
        <f>ROUND(2*E22,0)/2+F$19</f>
        <v>5483</v>
      </c>
      <c r="G22">
        <f>+C22-(C$7+F22*C$8)</f>
        <v>-5.1219950000013341</v>
      </c>
      <c r="I22">
        <f>+G22</f>
        <v>-5.1219950000013341</v>
      </c>
      <c r="O22">
        <f ca="1">+C$11+C$12*$F22</f>
        <v>-5.1402637828909077</v>
      </c>
      <c r="Q22" s="2">
        <f>+C22-15018.5</f>
        <v>38696.6</v>
      </c>
    </row>
    <row r="23" spans="1:17" x14ac:dyDescent="0.2">
      <c r="A23" s="36" t="s">
        <v>46</v>
      </c>
      <c r="B23" s="37"/>
      <c r="C23" s="36">
        <v>53715.1</v>
      </c>
      <c r="D23" s="36">
        <v>0.2</v>
      </c>
      <c r="E23">
        <f>+(C23-C$7)/C$8</f>
        <v>5482.015619039199</v>
      </c>
      <c r="F23" s="33">
        <f>ROUND(2*E23,0)/2+F$19</f>
        <v>5483</v>
      </c>
      <c r="G23">
        <f>+C23-(C$7+F23*C$8)</f>
        <v>-5.1219950000013341</v>
      </c>
      <c r="I23">
        <f>+G23</f>
        <v>-5.1219950000013341</v>
      </c>
      <c r="O23">
        <f ca="1">+C$11+C$12*$F23</f>
        <v>-5.1402637828909077</v>
      </c>
      <c r="Q23" s="2">
        <f>+C23-15018.5</f>
        <v>38696.6</v>
      </c>
    </row>
    <row r="24" spans="1:17" x14ac:dyDescent="0.2">
      <c r="A24" s="30" t="s">
        <v>42</v>
      </c>
      <c r="B24" s="31" t="s">
        <v>43</v>
      </c>
      <c r="C24" s="32">
        <v>54097.45811</v>
      </c>
      <c r="D24" s="32">
        <v>2.8E-3</v>
      </c>
      <c r="E24">
        <f>+(C24-C$7)/C$8</f>
        <v>5555.4998851682549</v>
      </c>
      <c r="F24" s="33">
        <f>ROUND(2*E24,0)/2+F$19</f>
        <v>5556.5</v>
      </c>
      <c r="G24">
        <f>+C24-(C$7+F24*C$8)</f>
        <v>-5.2038625000059255</v>
      </c>
      <c r="I24">
        <f>+G24</f>
        <v>-5.2038625000059255</v>
      </c>
      <c r="O24">
        <f ca="1">+C$11+C$12*$F24</f>
        <v>-5.1339645480805975</v>
      </c>
      <c r="Q24" s="2">
        <f>+C24-15018.5</f>
        <v>39078.95811</v>
      </c>
    </row>
    <row r="25" spans="1:17" x14ac:dyDescent="0.2">
      <c r="A25" s="34" t="s">
        <v>44</v>
      </c>
      <c r="B25" s="35" t="s">
        <v>45</v>
      </c>
      <c r="C25" s="36">
        <v>54516.431100000002</v>
      </c>
      <c r="D25" s="36">
        <v>5.9999999999999995E-4</v>
      </c>
      <c r="E25">
        <f>+(C25-C$7)/C$8</f>
        <v>5636.0210560100249</v>
      </c>
      <c r="F25" s="33">
        <f>ROUND(2*E25,0)/2+F$19</f>
        <v>5637</v>
      </c>
      <c r="G25">
        <f>+C25-(C$7+F25*C$8)</f>
        <v>-5.0937049999993178</v>
      </c>
      <c r="I25">
        <f>+G25</f>
        <v>-5.0937049999993178</v>
      </c>
      <c r="O25">
        <f ca="1">+C$11+C$12*$F25</f>
        <v>-5.127065386145496</v>
      </c>
      <c r="Q25" s="2">
        <f>+C25-15018.5</f>
        <v>39497.931100000002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topLeftCell="A15" workbookViewId="0">
      <selection activeCell="A15" sqref="A15:C64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3" t="s">
        <v>51</v>
      </c>
      <c r="I1" s="44" t="s">
        <v>52</v>
      </c>
      <c r="J1" s="45" t="s">
        <v>53</v>
      </c>
    </row>
    <row r="2" spans="1:16" x14ac:dyDescent="0.2">
      <c r="I2" s="46" t="s">
        <v>54</v>
      </c>
      <c r="J2" s="47" t="s">
        <v>55</v>
      </c>
    </row>
    <row r="3" spans="1:16" x14ac:dyDescent="0.2">
      <c r="A3" s="48" t="s">
        <v>56</v>
      </c>
      <c r="I3" s="46" t="s">
        <v>57</v>
      </c>
      <c r="J3" s="47" t="s">
        <v>58</v>
      </c>
    </row>
    <row r="4" spans="1:16" x14ac:dyDescent="0.2">
      <c r="I4" s="46" t="s">
        <v>59</v>
      </c>
      <c r="J4" s="47" t="s">
        <v>58</v>
      </c>
    </row>
    <row r="5" spans="1:16" ht="13.5" thickBot="1" x14ac:dyDescent="0.25">
      <c r="I5" s="49" t="s">
        <v>60</v>
      </c>
      <c r="J5" s="50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OEJV 0028 </v>
      </c>
      <c r="B11" s="3" t="str">
        <f t="shared" ref="B11:B42" si="1">IF(H11=INT(H11),"I","II")</f>
        <v>I</v>
      </c>
      <c r="C11" s="10">
        <f t="shared" ref="C11:C42" si="2">1*G11</f>
        <v>53715.1</v>
      </c>
      <c r="D11" s="13" t="str">
        <f t="shared" ref="D11:D42" si="3">VLOOKUP(F11,I$1:J$5,2,FALSE)</f>
        <v>vis</v>
      </c>
      <c r="E11" s="51">
        <f>VLOOKUP(C11,Active!C$21:E$973,3,FALSE)</f>
        <v>5481.9253253019633</v>
      </c>
      <c r="F11" s="3" t="s">
        <v>60</v>
      </c>
      <c r="G11" s="13" t="str">
        <f t="shared" ref="G11:G42" si="4">MID(I11,3,LEN(I11)-3)</f>
        <v>53715.10</v>
      </c>
      <c r="H11" s="10">
        <f t="shared" ref="H11:H42" si="5">1*K11</f>
        <v>5482</v>
      </c>
      <c r="I11" s="52" t="s">
        <v>239</v>
      </c>
      <c r="J11" s="53" t="s">
        <v>240</v>
      </c>
      <c r="K11" s="52">
        <v>5482</v>
      </c>
      <c r="L11" s="52" t="s">
        <v>236</v>
      </c>
      <c r="M11" s="53" t="s">
        <v>66</v>
      </c>
      <c r="N11" s="53"/>
      <c r="O11" s="54" t="s">
        <v>237</v>
      </c>
      <c r="P11" s="55" t="s">
        <v>241</v>
      </c>
    </row>
    <row r="12" spans="1:16" ht="12.75" customHeight="1" thickBot="1" x14ac:dyDescent="0.25">
      <c r="A12" s="10" t="str">
        <f t="shared" si="0"/>
        <v>BAVM 201 </v>
      </c>
      <c r="B12" s="3" t="str">
        <f t="shared" si="1"/>
        <v>I</v>
      </c>
      <c r="C12" s="10">
        <f t="shared" si="2"/>
        <v>54516.431100000002</v>
      </c>
      <c r="D12" s="13" t="str">
        <f t="shared" si="3"/>
        <v>vis</v>
      </c>
      <c r="E12" s="51">
        <f>VLOOKUP(C12,Active!C$21:E$973,3,FALSE)</f>
        <v>5635.9282256644638</v>
      </c>
      <c r="F12" s="3" t="s">
        <v>60</v>
      </c>
      <c r="G12" s="13" t="str">
        <f t="shared" si="4"/>
        <v>54516.4311</v>
      </c>
      <c r="H12" s="10">
        <f t="shared" si="5"/>
        <v>5636</v>
      </c>
      <c r="I12" s="52" t="s">
        <v>242</v>
      </c>
      <c r="J12" s="53" t="s">
        <v>243</v>
      </c>
      <c r="K12" s="52">
        <v>5636</v>
      </c>
      <c r="L12" s="52" t="s">
        <v>244</v>
      </c>
      <c r="M12" s="53" t="s">
        <v>245</v>
      </c>
      <c r="N12" s="53" t="s">
        <v>246</v>
      </c>
      <c r="O12" s="54" t="s">
        <v>247</v>
      </c>
      <c r="P12" s="55" t="s">
        <v>248</v>
      </c>
    </row>
    <row r="13" spans="1:16" ht="12.75" customHeight="1" thickBot="1" x14ac:dyDescent="0.25">
      <c r="A13" s="10" t="str">
        <f t="shared" si="0"/>
        <v>IBVS 6007 </v>
      </c>
      <c r="B13" s="3" t="str">
        <f t="shared" si="1"/>
        <v>I</v>
      </c>
      <c r="C13" s="10">
        <f t="shared" si="2"/>
        <v>55640.341469999999</v>
      </c>
      <c r="D13" s="13" t="str">
        <f t="shared" si="3"/>
        <v>vis</v>
      </c>
      <c r="E13" s="51">
        <f>VLOOKUP(C13,Active!C$21:E$973,3,FALSE)</f>
        <v>5851.9256538529989</v>
      </c>
      <c r="F13" s="3" t="s">
        <v>60</v>
      </c>
      <c r="G13" s="13" t="str">
        <f t="shared" si="4"/>
        <v>55640.34147</v>
      </c>
      <c r="H13" s="10">
        <f t="shared" si="5"/>
        <v>5852</v>
      </c>
      <c r="I13" s="52" t="s">
        <v>249</v>
      </c>
      <c r="J13" s="53" t="s">
        <v>250</v>
      </c>
      <c r="K13" s="52" t="s">
        <v>251</v>
      </c>
      <c r="L13" s="52" t="s">
        <v>252</v>
      </c>
      <c r="M13" s="53" t="s">
        <v>245</v>
      </c>
      <c r="N13" s="53" t="s">
        <v>253</v>
      </c>
      <c r="O13" s="54" t="s">
        <v>254</v>
      </c>
      <c r="P13" s="55" t="s">
        <v>255</v>
      </c>
    </row>
    <row r="14" spans="1:16" ht="12.75" customHeight="1" thickBot="1" x14ac:dyDescent="0.25">
      <c r="A14" s="10" t="str">
        <f t="shared" si="0"/>
        <v>OEJV 0172 </v>
      </c>
      <c r="B14" s="3" t="str">
        <f t="shared" si="1"/>
        <v>I</v>
      </c>
      <c r="C14" s="10">
        <f t="shared" si="2"/>
        <v>57024.413999999997</v>
      </c>
      <c r="D14" s="13" t="str">
        <f t="shared" si="3"/>
        <v>vis</v>
      </c>
      <c r="E14" s="51">
        <f>VLOOKUP(C14,Active!C$21:E$973,3,FALSE)</f>
        <v>6117.9220490160751</v>
      </c>
      <c r="F14" s="3" t="s">
        <v>60</v>
      </c>
      <c r="G14" s="13" t="str">
        <f t="shared" si="4"/>
        <v>57024.414</v>
      </c>
      <c r="H14" s="10">
        <f t="shared" si="5"/>
        <v>6118</v>
      </c>
      <c r="I14" s="52" t="s">
        <v>256</v>
      </c>
      <c r="J14" s="53" t="s">
        <v>257</v>
      </c>
      <c r="K14" s="52" t="s">
        <v>258</v>
      </c>
      <c r="L14" s="52" t="s">
        <v>259</v>
      </c>
      <c r="M14" s="53" t="s">
        <v>245</v>
      </c>
      <c r="N14" s="53" t="s">
        <v>260</v>
      </c>
      <c r="O14" s="54" t="s">
        <v>232</v>
      </c>
      <c r="P14" s="55" t="s">
        <v>261</v>
      </c>
    </row>
    <row r="15" spans="1:16" ht="12.75" customHeight="1" thickBot="1" x14ac:dyDescent="0.25">
      <c r="A15" s="10" t="str">
        <f t="shared" si="0"/>
        <v> AN 195.126 </v>
      </c>
      <c r="B15" s="3" t="str">
        <f t="shared" si="1"/>
        <v>I</v>
      </c>
      <c r="C15" s="10">
        <f t="shared" si="2"/>
        <v>18270.392</v>
      </c>
      <c r="D15" s="13" t="str">
        <f t="shared" si="3"/>
        <v>vis</v>
      </c>
      <c r="E15" s="51">
        <f>VLOOKUP(C15,Active!C$21:E$973,3,FALSE)</f>
        <v>-1329.9753166447895</v>
      </c>
      <c r="F15" s="3" t="s">
        <v>60</v>
      </c>
      <c r="G15" s="13" t="str">
        <f t="shared" si="4"/>
        <v>18270.392</v>
      </c>
      <c r="H15" s="10">
        <f t="shared" si="5"/>
        <v>-1330</v>
      </c>
      <c r="I15" s="52" t="s">
        <v>63</v>
      </c>
      <c r="J15" s="53" t="s">
        <v>64</v>
      </c>
      <c r="K15" s="52">
        <v>-1330</v>
      </c>
      <c r="L15" s="52" t="s">
        <v>65</v>
      </c>
      <c r="M15" s="53" t="s">
        <v>66</v>
      </c>
      <c r="N15" s="53"/>
      <c r="O15" s="54" t="s">
        <v>67</v>
      </c>
      <c r="P15" s="54" t="s">
        <v>68</v>
      </c>
    </row>
    <row r="16" spans="1:16" ht="12.75" customHeight="1" thickBot="1" x14ac:dyDescent="0.25">
      <c r="A16" s="10" t="str">
        <f t="shared" si="0"/>
        <v> AN 195.126 </v>
      </c>
      <c r="B16" s="3" t="str">
        <f t="shared" si="1"/>
        <v>I</v>
      </c>
      <c r="C16" s="10">
        <f t="shared" si="2"/>
        <v>18603.41</v>
      </c>
      <c r="D16" s="13" t="str">
        <f t="shared" si="3"/>
        <v>vis</v>
      </c>
      <c r="E16" s="51">
        <f>VLOOKUP(C16,Active!C$21:E$973,3,FALSE)</f>
        <v>-1265.9746334404074</v>
      </c>
      <c r="F16" s="3" t="s">
        <v>60</v>
      </c>
      <c r="G16" s="13" t="str">
        <f t="shared" si="4"/>
        <v>18603.410</v>
      </c>
      <c r="H16" s="10">
        <f t="shared" si="5"/>
        <v>-1266</v>
      </c>
      <c r="I16" s="52" t="s">
        <v>69</v>
      </c>
      <c r="J16" s="53" t="s">
        <v>70</v>
      </c>
      <c r="K16" s="52">
        <v>-1266</v>
      </c>
      <c r="L16" s="52" t="s">
        <v>71</v>
      </c>
      <c r="M16" s="53" t="s">
        <v>66</v>
      </c>
      <c r="N16" s="53"/>
      <c r="O16" s="54" t="s">
        <v>67</v>
      </c>
      <c r="P16" s="54" t="s">
        <v>68</v>
      </c>
    </row>
    <row r="17" spans="1:16" ht="12.75" customHeight="1" thickBot="1" x14ac:dyDescent="0.25">
      <c r="A17" s="10" t="str">
        <f t="shared" si="0"/>
        <v> AN 195.126 </v>
      </c>
      <c r="B17" s="3" t="str">
        <f t="shared" si="1"/>
        <v>I</v>
      </c>
      <c r="C17" s="10">
        <f t="shared" si="2"/>
        <v>18780.324000000001</v>
      </c>
      <c r="D17" s="13" t="str">
        <f t="shared" si="3"/>
        <v>vis</v>
      </c>
      <c r="E17" s="51">
        <f>VLOOKUP(C17,Active!C$21:E$973,3,FALSE)</f>
        <v>-1231.9746188213176</v>
      </c>
      <c r="F17" s="3" t="s">
        <v>60</v>
      </c>
      <c r="G17" s="13" t="str">
        <f t="shared" si="4"/>
        <v>18780.324</v>
      </c>
      <c r="H17" s="10">
        <f t="shared" si="5"/>
        <v>-1232</v>
      </c>
      <c r="I17" s="52" t="s">
        <v>72</v>
      </c>
      <c r="J17" s="53" t="s">
        <v>73</v>
      </c>
      <c r="K17" s="52">
        <v>-1232</v>
      </c>
      <c r="L17" s="52" t="s">
        <v>74</v>
      </c>
      <c r="M17" s="53" t="s">
        <v>66</v>
      </c>
      <c r="N17" s="53"/>
      <c r="O17" s="54" t="s">
        <v>67</v>
      </c>
      <c r="P17" s="54" t="s">
        <v>68</v>
      </c>
    </row>
    <row r="18" spans="1:16" ht="12.75" customHeight="1" thickBot="1" x14ac:dyDescent="0.25">
      <c r="A18" s="10" t="str">
        <f t="shared" si="0"/>
        <v> AN 195.126 </v>
      </c>
      <c r="B18" s="3" t="str">
        <f t="shared" si="1"/>
        <v>I</v>
      </c>
      <c r="C18" s="10">
        <f t="shared" si="2"/>
        <v>19805.381000000001</v>
      </c>
      <c r="D18" s="13" t="str">
        <f t="shared" si="3"/>
        <v>vis</v>
      </c>
      <c r="E18" s="51">
        <f>VLOOKUP(C18,Active!C$21:E$973,3,FALSE)</f>
        <v>-1034.9752124125521</v>
      </c>
      <c r="F18" s="3" t="s">
        <v>60</v>
      </c>
      <c r="G18" s="13" t="str">
        <f t="shared" si="4"/>
        <v>19805.381</v>
      </c>
      <c r="H18" s="10">
        <f t="shared" si="5"/>
        <v>-1035</v>
      </c>
      <c r="I18" s="52" t="s">
        <v>75</v>
      </c>
      <c r="J18" s="53" t="s">
        <v>76</v>
      </c>
      <c r="K18" s="52">
        <v>-1035</v>
      </c>
      <c r="L18" s="52" t="s">
        <v>77</v>
      </c>
      <c r="M18" s="53" t="s">
        <v>66</v>
      </c>
      <c r="N18" s="53"/>
      <c r="O18" s="54" t="s">
        <v>67</v>
      </c>
      <c r="P18" s="54" t="s">
        <v>68</v>
      </c>
    </row>
    <row r="19" spans="1:16" ht="12.75" customHeight="1" thickBot="1" x14ac:dyDescent="0.25">
      <c r="A19" s="10" t="str">
        <f t="shared" si="0"/>
        <v> AN 195.126 </v>
      </c>
      <c r="B19" s="3" t="str">
        <f t="shared" si="1"/>
        <v>I</v>
      </c>
      <c r="C19" s="10">
        <f t="shared" si="2"/>
        <v>19831.387999999999</v>
      </c>
      <c r="D19" s="13" t="str">
        <f t="shared" si="3"/>
        <v>vis</v>
      </c>
      <c r="E19" s="51">
        <f>VLOOKUP(C19,Active!C$21:E$973,3,FALSE)</f>
        <v>-1029.977086881511</v>
      </c>
      <c r="F19" s="3" t="s">
        <v>60</v>
      </c>
      <c r="G19" s="13" t="str">
        <f t="shared" si="4"/>
        <v>19831.388</v>
      </c>
      <c r="H19" s="10">
        <f t="shared" si="5"/>
        <v>-1030</v>
      </c>
      <c r="I19" s="52" t="s">
        <v>78</v>
      </c>
      <c r="J19" s="53" t="s">
        <v>79</v>
      </c>
      <c r="K19" s="52">
        <v>-1030</v>
      </c>
      <c r="L19" s="52" t="s">
        <v>80</v>
      </c>
      <c r="M19" s="53" t="s">
        <v>66</v>
      </c>
      <c r="N19" s="53"/>
      <c r="O19" s="54" t="s">
        <v>67</v>
      </c>
      <c r="P19" s="54" t="s">
        <v>68</v>
      </c>
    </row>
    <row r="20" spans="1:16" ht="12.75" customHeight="1" thickBot="1" x14ac:dyDescent="0.25">
      <c r="A20" s="10" t="str">
        <f t="shared" si="0"/>
        <v> SAC 4.45 </v>
      </c>
      <c r="B20" s="3" t="str">
        <f t="shared" si="1"/>
        <v>I</v>
      </c>
      <c r="C20" s="10">
        <f t="shared" si="2"/>
        <v>24134.445</v>
      </c>
      <c r="D20" s="13" t="str">
        <f t="shared" si="3"/>
        <v>vis</v>
      </c>
      <c r="E20" s="51">
        <f>VLOOKUP(C20,Active!C$21:E$973,3,FALSE)</f>
        <v>-202.99900201102847</v>
      </c>
      <c r="F20" s="3" t="s">
        <v>60</v>
      </c>
      <c r="G20" s="13" t="str">
        <f t="shared" si="4"/>
        <v>24134.445</v>
      </c>
      <c r="H20" s="10">
        <f t="shared" si="5"/>
        <v>-203</v>
      </c>
      <c r="I20" s="52" t="s">
        <v>81</v>
      </c>
      <c r="J20" s="53" t="s">
        <v>82</v>
      </c>
      <c r="K20" s="52">
        <v>-203</v>
      </c>
      <c r="L20" s="52" t="s">
        <v>83</v>
      </c>
      <c r="M20" s="53" t="s">
        <v>66</v>
      </c>
      <c r="N20" s="53"/>
      <c r="O20" s="54" t="s">
        <v>84</v>
      </c>
      <c r="P20" s="54" t="s">
        <v>85</v>
      </c>
    </row>
    <row r="21" spans="1:16" ht="12.75" customHeight="1" thickBot="1" x14ac:dyDescent="0.25">
      <c r="A21" s="10" t="str">
        <f t="shared" si="0"/>
        <v> SAC 14.60 </v>
      </c>
      <c r="B21" s="3" t="str">
        <f t="shared" si="1"/>
        <v>I</v>
      </c>
      <c r="C21" s="10">
        <f t="shared" si="2"/>
        <v>25190.714</v>
      </c>
      <c r="D21" s="13" t="str">
        <f t="shared" si="3"/>
        <v>vis</v>
      </c>
      <c r="E21" s="51">
        <f>VLOOKUP(C21,Active!C$21:E$973,3,FALSE)</f>
        <v>-1.1531031334778416E-3</v>
      </c>
      <c r="F21" s="3" t="s">
        <v>60</v>
      </c>
      <c r="G21" s="13" t="str">
        <f t="shared" si="4"/>
        <v>25190.714</v>
      </c>
      <c r="H21" s="10">
        <f t="shared" si="5"/>
        <v>0</v>
      </c>
      <c r="I21" s="52" t="s">
        <v>86</v>
      </c>
      <c r="J21" s="53" t="s">
        <v>87</v>
      </c>
      <c r="K21" s="52">
        <v>0</v>
      </c>
      <c r="L21" s="52" t="s">
        <v>88</v>
      </c>
      <c r="M21" s="53" t="s">
        <v>66</v>
      </c>
      <c r="N21" s="53"/>
      <c r="O21" s="54" t="s">
        <v>89</v>
      </c>
      <c r="P21" s="54" t="s">
        <v>90</v>
      </c>
    </row>
    <row r="22" spans="1:16" ht="12.75" customHeight="1" thickBot="1" x14ac:dyDescent="0.25">
      <c r="A22" s="10" t="str">
        <f t="shared" si="0"/>
        <v> VB 5.12 </v>
      </c>
      <c r="B22" s="3" t="str">
        <f t="shared" si="1"/>
        <v>I</v>
      </c>
      <c r="C22" s="10">
        <f t="shared" si="2"/>
        <v>26382.424999999999</v>
      </c>
      <c r="D22" s="13" t="str">
        <f t="shared" si="3"/>
        <v>vis</v>
      </c>
      <c r="E22" s="51">
        <f>VLOOKUP(C22,Active!C$21:E$973,3,FALSE)</f>
        <v>229.02646156687601</v>
      </c>
      <c r="F22" s="3" t="s">
        <v>60</v>
      </c>
      <c r="G22" s="13" t="str">
        <f t="shared" si="4"/>
        <v>26382.425</v>
      </c>
      <c r="H22" s="10">
        <f t="shared" si="5"/>
        <v>229</v>
      </c>
      <c r="I22" s="52" t="s">
        <v>91</v>
      </c>
      <c r="J22" s="53" t="s">
        <v>92</v>
      </c>
      <c r="K22" s="52">
        <v>229</v>
      </c>
      <c r="L22" s="52" t="s">
        <v>93</v>
      </c>
      <c r="M22" s="53" t="s">
        <v>94</v>
      </c>
      <c r="N22" s="53"/>
      <c r="O22" s="54" t="s">
        <v>95</v>
      </c>
      <c r="P22" s="54" t="s">
        <v>96</v>
      </c>
    </row>
    <row r="23" spans="1:16" ht="12.75" customHeight="1" thickBot="1" x14ac:dyDescent="0.25">
      <c r="A23" s="10" t="str">
        <f t="shared" si="0"/>
        <v> VB 5.12 </v>
      </c>
      <c r="B23" s="3" t="str">
        <f t="shared" si="1"/>
        <v>I</v>
      </c>
      <c r="C23" s="10">
        <f t="shared" si="2"/>
        <v>26413.350999999999</v>
      </c>
      <c r="D23" s="13" t="str">
        <f t="shared" si="3"/>
        <v>vis</v>
      </c>
      <c r="E23" s="51">
        <f>VLOOKUP(C23,Active!C$21:E$973,3,FALSE)</f>
        <v>234.96993948332101</v>
      </c>
      <c r="F23" s="3" t="s">
        <v>60</v>
      </c>
      <c r="G23" s="13" t="str">
        <f t="shared" si="4"/>
        <v>26413.351</v>
      </c>
      <c r="H23" s="10">
        <f t="shared" si="5"/>
        <v>235</v>
      </c>
      <c r="I23" s="52" t="s">
        <v>97</v>
      </c>
      <c r="J23" s="53" t="s">
        <v>98</v>
      </c>
      <c r="K23" s="52">
        <v>235</v>
      </c>
      <c r="L23" s="52" t="s">
        <v>99</v>
      </c>
      <c r="M23" s="53" t="s">
        <v>94</v>
      </c>
      <c r="N23" s="53"/>
      <c r="O23" s="54" t="s">
        <v>95</v>
      </c>
      <c r="P23" s="54" t="s">
        <v>96</v>
      </c>
    </row>
    <row r="24" spans="1:16" ht="12.75" customHeight="1" thickBot="1" x14ac:dyDescent="0.25">
      <c r="A24" s="10" t="str">
        <f t="shared" si="0"/>
        <v> VB 5.12 </v>
      </c>
      <c r="B24" s="3" t="str">
        <f t="shared" si="1"/>
        <v>I</v>
      </c>
      <c r="C24" s="10">
        <f t="shared" si="2"/>
        <v>26413.379000000001</v>
      </c>
      <c r="D24" s="13" t="str">
        <f t="shared" si="3"/>
        <v>vis</v>
      </c>
      <c r="E24" s="51">
        <f>VLOOKUP(C24,Active!C$21:E$973,3,FALSE)</f>
        <v>234.97532063127656</v>
      </c>
      <c r="F24" s="3" t="s">
        <v>60</v>
      </c>
      <c r="G24" s="13" t="str">
        <f t="shared" si="4"/>
        <v>26413.379</v>
      </c>
      <c r="H24" s="10">
        <f t="shared" si="5"/>
        <v>235</v>
      </c>
      <c r="I24" s="52" t="s">
        <v>100</v>
      </c>
      <c r="J24" s="53" t="s">
        <v>101</v>
      </c>
      <c r="K24" s="52">
        <v>235</v>
      </c>
      <c r="L24" s="52" t="s">
        <v>102</v>
      </c>
      <c r="M24" s="53" t="s">
        <v>94</v>
      </c>
      <c r="N24" s="53"/>
      <c r="O24" s="54" t="s">
        <v>95</v>
      </c>
      <c r="P24" s="54" t="s">
        <v>96</v>
      </c>
    </row>
    <row r="25" spans="1:16" ht="12.75" customHeight="1" thickBot="1" x14ac:dyDescent="0.25">
      <c r="A25" s="10" t="str">
        <f t="shared" si="0"/>
        <v> VB 5.12 </v>
      </c>
      <c r="B25" s="3" t="str">
        <f t="shared" si="1"/>
        <v>I</v>
      </c>
      <c r="C25" s="10">
        <f t="shared" si="2"/>
        <v>26767.276000000002</v>
      </c>
      <c r="D25" s="13" t="str">
        <f t="shared" si="3"/>
        <v>vis</v>
      </c>
      <c r="E25" s="51">
        <f>VLOOKUP(C25,Active!C$21:E$973,3,FALSE)</f>
        <v>302.98861055548855</v>
      </c>
      <c r="F25" s="3" t="s">
        <v>60</v>
      </c>
      <c r="G25" s="13" t="str">
        <f t="shared" si="4"/>
        <v>26767.276</v>
      </c>
      <c r="H25" s="10">
        <f t="shared" si="5"/>
        <v>303</v>
      </c>
      <c r="I25" s="52" t="s">
        <v>103</v>
      </c>
      <c r="J25" s="53" t="s">
        <v>104</v>
      </c>
      <c r="K25" s="52">
        <v>303</v>
      </c>
      <c r="L25" s="52" t="s">
        <v>105</v>
      </c>
      <c r="M25" s="53" t="s">
        <v>94</v>
      </c>
      <c r="N25" s="53"/>
      <c r="O25" s="54" t="s">
        <v>95</v>
      </c>
      <c r="P25" s="54" t="s">
        <v>96</v>
      </c>
    </row>
    <row r="26" spans="1:16" ht="12.75" customHeight="1" thickBot="1" x14ac:dyDescent="0.25">
      <c r="A26" s="10" t="str">
        <f t="shared" si="0"/>
        <v> VB 5.12 </v>
      </c>
      <c r="B26" s="3" t="str">
        <f t="shared" si="1"/>
        <v>I</v>
      </c>
      <c r="C26" s="10">
        <f t="shared" si="2"/>
        <v>26767.321</v>
      </c>
      <c r="D26" s="13" t="str">
        <f t="shared" si="3"/>
        <v>vis</v>
      </c>
      <c r="E26" s="51">
        <f>VLOOKUP(C26,Active!C$21:E$973,3,FALSE)</f>
        <v>302.99725882898753</v>
      </c>
      <c r="F26" s="3" t="s">
        <v>60</v>
      </c>
      <c r="G26" s="13" t="str">
        <f t="shared" si="4"/>
        <v>26767.321</v>
      </c>
      <c r="H26" s="10">
        <f t="shared" si="5"/>
        <v>303</v>
      </c>
      <c r="I26" s="52" t="s">
        <v>106</v>
      </c>
      <c r="J26" s="53" t="s">
        <v>107</v>
      </c>
      <c r="K26" s="52">
        <v>303</v>
      </c>
      <c r="L26" s="52" t="s">
        <v>108</v>
      </c>
      <c r="M26" s="53" t="s">
        <v>94</v>
      </c>
      <c r="N26" s="53"/>
      <c r="O26" s="54" t="s">
        <v>95</v>
      </c>
      <c r="P26" s="54" t="s">
        <v>96</v>
      </c>
    </row>
    <row r="27" spans="1:16" ht="12.75" customHeight="1" thickBot="1" x14ac:dyDescent="0.25">
      <c r="A27" s="10" t="str">
        <f t="shared" si="0"/>
        <v> VB 5.12 </v>
      </c>
      <c r="B27" s="3" t="str">
        <f t="shared" si="1"/>
        <v>I</v>
      </c>
      <c r="C27" s="10">
        <f t="shared" si="2"/>
        <v>26767.344000000001</v>
      </c>
      <c r="D27" s="13" t="str">
        <f t="shared" si="3"/>
        <v>vis</v>
      </c>
      <c r="E27" s="51">
        <f>VLOOKUP(C27,Active!C$21:E$973,3,FALSE)</f>
        <v>303.00167905766517</v>
      </c>
      <c r="F27" s="3" t="s">
        <v>60</v>
      </c>
      <c r="G27" s="13" t="str">
        <f t="shared" si="4"/>
        <v>26767.344</v>
      </c>
      <c r="H27" s="10">
        <f t="shared" si="5"/>
        <v>303</v>
      </c>
      <c r="I27" s="52" t="s">
        <v>109</v>
      </c>
      <c r="J27" s="53" t="s">
        <v>110</v>
      </c>
      <c r="K27" s="52">
        <v>303</v>
      </c>
      <c r="L27" s="52" t="s">
        <v>111</v>
      </c>
      <c r="M27" s="53" t="s">
        <v>94</v>
      </c>
      <c r="N27" s="53"/>
      <c r="O27" s="54" t="s">
        <v>95</v>
      </c>
      <c r="P27" s="54" t="s">
        <v>96</v>
      </c>
    </row>
    <row r="28" spans="1:16" ht="12.75" customHeight="1" thickBot="1" x14ac:dyDescent="0.25">
      <c r="A28" s="10" t="str">
        <f t="shared" si="0"/>
        <v> VB 5.12 </v>
      </c>
      <c r="B28" s="3" t="str">
        <f t="shared" si="1"/>
        <v>I</v>
      </c>
      <c r="C28" s="10">
        <f t="shared" si="2"/>
        <v>26767.412</v>
      </c>
      <c r="D28" s="13" t="str">
        <f t="shared" si="3"/>
        <v>vis</v>
      </c>
      <c r="E28" s="51">
        <f>VLOOKUP(C28,Active!C$21:E$973,3,FALSE)</f>
        <v>303.01474755984179</v>
      </c>
      <c r="F28" s="3" t="s">
        <v>60</v>
      </c>
      <c r="G28" s="13" t="str">
        <f t="shared" si="4"/>
        <v>26767.412</v>
      </c>
      <c r="H28" s="10">
        <f t="shared" si="5"/>
        <v>303</v>
      </c>
      <c r="I28" s="52" t="s">
        <v>112</v>
      </c>
      <c r="J28" s="53" t="s">
        <v>113</v>
      </c>
      <c r="K28" s="52">
        <v>303</v>
      </c>
      <c r="L28" s="52" t="s">
        <v>114</v>
      </c>
      <c r="M28" s="53" t="s">
        <v>94</v>
      </c>
      <c r="N28" s="53"/>
      <c r="O28" s="54" t="s">
        <v>95</v>
      </c>
      <c r="P28" s="54" t="s">
        <v>96</v>
      </c>
    </row>
    <row r="29" spans="1:16" ht="12.75" customHeight="1" thickBot="1" x14ac:dyDescent="0.25">
      <c r="A29" s="10" t="str">
        <f t="shared" si="0"/>
        <v> VB 5.12 </v>
      </c>
      <c r="B29" s="3" t="str">
        <f t="shared" si="1"/>
        <v>I</v>
      </c>
      <c r="C29" s="10">
        <f t="shared" si="2"/>
        <v>26772.294999999998</v>
      </c>
      <c r="D29" s="13" t="str">
        <f t="shared" si="3"/>
        <v>vis</v>
      </c>
      <c r="E29" s="51">
        <f>VLOOKUP(C29,Active!C$21:E$973,3,FALSE)</f>
        <v>303.95318132644559</v>
      </c>
      <c r="F29" s="3" t="s">
        <v>60</v>
      </c>
      <c r="G29" s="13" t="str">
        <f t="shared" si="4"/>
        <v>26772.295</v>
      </c>
      <c r="H29" s="10">
        <f t="shared" si="5"/>
        <v>304</v>
      </c>
      <c r="I29" s="52" t="s">
        <v>115</v>
      </c>
      <c r="J29" s="53" t="s">
        <v>116</v>
      </c>
      <c r="K29" s="52">
        <v>304</v>
      </c>
      <c r="L29" s="52" t="s">
        <v>117</v>
      </c>
      <c r="M29" s="53" t="s">
        <v>94</v>
      </c>
      <c r="N29" s="53"/>
      <c r="O29" s="54" t="s">
        <v>95</v>
      </c>
      <c r="P29" s="54" t="s">
        <v>96</v>
      </c>
    </row>
    <row r="30" spans="1:16" ht="12.75" customHeight="1" thickBot="1" x14ac:dyDescent="0.25">
      <c r="A30" s="10" t="str">
        <f t="shared" si="0"/>
        <v> VB 5.12 </v>
      </c>
      <c r="B30" s="3" t="str">
        <f t="shared" si="1"/>
        <v>I</v>
      </c>
      <c r="C30" s="10">
        <f t="shared" si="2"/>
        <v>26793.366999999998</v>
      </c>
      <c r="D30" s="13" t="str">
        <f t="shared" si="3"/>
        <v>vis</v>
      </c>
      <c r="E30" s="51">
        <f>VLOOKUP(C30,Active!C$21:E$973,3,FALSE)</f>
        <v>308.00287953039475</v>
      </c>
      <c r="F30" s="3" t="s">
        <v>60</v>
      </c>
      <c r="G30" s="13" t="str">
        <f t="shared" si="4"/>
        <v>26793.367</v>
      </c>
      <c r="H30" s="10">
        <f t="shared" si="5"/>
        <v>308</v>
      </c>
      <c r="I30" s="52" t="s">
        <v>118</v>
      </c>
      <c r="J30" s="53" t="s">
        <v>119</v>
      </c>
      <c r="K30" s="52">
        <v>308</v>
      </c>
      <c r="L30" s="52" t="s">
        <v>120</v>
      </c>
      <c r="M30" s="53" t="s">
        <v>94</v>
      </c>
      <c r="N30" s="53"/>
      <c r="O30" s="54" t="s">
        <v>95</v>
      </c>
      <c r="P30" s="54" t="s">
        <v>96</v>
      </c>
    </row>
    <row r="31" spans="1:16" ht="12.75" customHeight="1" thickBot="1" x14ac:dyDescent="0.25">
      <c r="A31" s="10" t="str">
        <f t="shared" si="0"/>
        <v> VB 5.12 </v>
      </c>
      <c r="B31" s="3" t="str">
        <f t="shared" si="1"/>
        <v>I</v>
      </c>
      <c r="C31" s="10">
        <f t="shared" si="2"/>
        <v>27126.34</v>
      </c>
      <c r="D31" s="13" t="str">
        <f t="shared" si="3"/>
        <v>vis</v>
      </c>
      <c r="E31" s="51">
        <f>VLOOKUP(C31,Active!C$21:E$973,3,FALSE)</f>
        <v>371.99491446127774</v>
      </c>
      <c r="F31" s="3" t="s">
        <v>60</v>
      </c>
      <c r="G31" s="13" t="str">
        <f t="shared" si="4"/>
        <v>27126.340</v>
      </c>
      <c r="H31" s="10">
        <f t="shared" si="5"/>
        <v>372</v>
      </c>
      <c r="I31" s="52" t="s">
        <v>121</v>
      </c>
      <c r="J31" s="53" t="s">
        <v>122</v>
      </c>
      <c r="K31" s="52">
        <v>372</v>
      </c>
      <c r="L31" s="52" t="s">
        <v>123</v>
      </c>
      <c r="M31" s="53" t="s">
        <v>94</v>
      </c>
      <c r="N31" s="53"/>
      <c r="O31" s="54" t="s">
        <v>95</v>
      </c>
      <c r="P31" s="54" t="s">
        <v>96</v>
      </c>
    </row>
    <row r="32" spans="1:16" ht="12.75" customHeight="1" thickBot="1" x14ac:dyDescent="0.25">
      <c r="A32" s="10" t="str">
        <f t="shared" si="0"/>
        <v> VB 5.12 </v>
      </c>
      <c r="B32" s="3" t="str">
        <f t="shared" si="1"/>
        <v>I</v>
      </c>
      <c r="C32" s="10">
        <f t="shared" si="2"/>
        <v>27131.306</v>
      </c>
      <c r="D32" s="13" t="str">
        <f t="shared" si="3"/>
        <v>vis</v>
      </c>
      <c r="E32" s="51">
        <f>VLOOKUP(C32,Active!C$21:E$973,3,FALSE)</f>
        <v>372.94929948789189</v>
      </c>
      <c r="F32" s="3" t="s">
        <v>60</v>
      </c>
      <c r="G32" s="13" t="str">
        <f t="shared" si="4"/>
        <v>27131.306</v>
      </c>
      <c r="H32" s="10">
        <f t="shared" si="5"/>
        <v>373</v>
      </c>
      <c r="I32" s="52" t="s">
        <v>124</v>
      </c>
      <c r="J32" s="53" t="s">
        <v>125</v>
      </c>
      <c r="K32" s="52">
        <v>373</v>
      </c>
      <c r="L32" s="52" t="s">
        <v>126</v>
      </c>
      <c r="M32" s="53" t="s">
        <v>94</v>
      </c>
      <c r="N32" s="53"/>
      <c r="O32" s="54" t="s">
        <v>95</v>
      </c>
      <c r="P32" s="54" t="s">
        <v>96</v>
      </c>
    </row>
    <row r="33" spans="1:16" ht="12.75" customHeight="1" thickBot="1" x14ac:dyDescent="0.25">
      <c r="A33" s="10" t="str">
        <f t="shared" si="0"/>
        <v> VB 5.12 </v>
      </c>
      <c r="B33" s="3" t="str">
        <f t="shared" si="1"/>
        <v>I</v>
      </c>
      <c r="C33" s="10">
        <f t="shared" si="2"/>
        <v>27147.348999999998</v>
      </c>
      <c r="D33" s="13" t="str">
        <f t="shared" si="3"/>
        <v>vis</v>
      </c>
      <c r="E33" s="51">
        <f>VLOOKUP(C33,Active!C$21:E$973,3,FALSE)</f>
        <v>376.03250508232753</v>
      </c>
      <c r="F33" s="3" t="s">
        <v>60</v>
      </c>
      <c r="G33" s="13" t="str">
        <f t="shared" si="4"/>
        <v>27147.349</v>
      </c>
      <c r="H33" s="10">
        <f t="shared" si="5"/>
        <v>376</v>
      </c>
      <c r="I33" s="52" t="s">
        <v>127</v>
      </c>
      <c r="J33" s="53" t="s">
        <v>128</v>
      </c>
      <c r="K33" s="52">
        <v>376</v>
      </c>
      <c r="L33" s="52" t="s">
        <v>129</v>
      </c>
      <c r="M33" s="53" t="s">
        <v>94</v>
      </c>
      <c r="N33" s="53"/>
      <c r="O33" s="54" t="s">
        <v>95</v>
      </c>
      <c r="P33" s="54" t="s">
        <v>96</v>
      </c>
    </row>
    <row r="34" spans="1:16" ht="12.75" customHeight="1" thickBot="1" x14ac:dyDescent="0.25">
      <c r="A34" s="10" t="str">
        <f t="shared" si="0"/>
        <v> VB 5.12 </v>
      </c>
      <c r="B34" s="3" t="str">
        <f t="shared" si="1"/>
        <v>I</v>
      </c>
      <c r="C34" s="10">
        <f t="shared" si="2"/>
        <v>27365.615000000002</v>
      </c>
      <c r="D34" s="13" t="str">
        <f t="shared" si="3"/>
        <v>vis</v>
      </c>
      <c r="E34" s="51">
        <f>VLOOKUP(C34,Active!C$21:E$973,3,FALSE)</f>
        <v>417.97970649572812</v>
      </c>
      <c r="F34" s="3" t="s">
        <v>60</v>
      </c>
      <c r="G34" s="13" t="str">
        <f t="shared" si="4"/>
        <v>27365.615</v>
      </c>
      <c r="H34" s="10">
        <f t="shared" si="5"/>
        <v>418</v>
      </c>
      <c r="I34" s="52" t="s">
        <v>130</v>
      </c>
      <c r="J34" s="53" t="s">
        <v>131</v>
      </c>
      <c r="K34" s="52">
        <v>418</v>
      </c>
      <c r="L34" s="52" t="s">
        <v>132</v>
      </c>
      <c r="M34" s="53" t="s">
        <v>94</v>
      </c>
      <c r="N34" s="53"/>
      <c r="O34" s="54" t="s">
        <v>95</v>
      </c>
      <c r="P34" s="54" t="s">
        <v>96</v>
      </c>
    </row>
    <row r="35" spans="1:16" ht="12.75" customHeight="1" thickBot="1" x14ac:dyDescent="0.25">
      <c r="A35" s="10" t="str">
        <f t="shared" si="0"/>
        <v> VB 5.12 </v>
      </c>
      <c r="B35" s="3" t="str">
        <f t="shared" si="1"/>
        <v>I</v>
      </c>
      <c r="C35" s="10">
        <f t="shared" si="2"/>
        <v>27459.314999999999</v>
      </c>
      <c r="D35" s="13" t="str">
        <f t="shared" si="3"/>
        <v>vis</v>
      </c>
      <c r="E35" s="51">
        <f>VLOOKUP(C35,Active!C$21:E$973,3,FALSE)</f>
        <v>435.98733375987121</v>
      </c>
      <c r="F35" s="3" t="s">
        <v>60</v>
      </c>
      <c r="G35" s="13" t="str">
        <f t="shared" si="4"/>
        <v>27459.315</v>
      </c>
      <c r="H35" s="10">
        <f t="shared" si="5"/>
        <v>436</v>
      </c>
      <c r="I35" s="52" t="s">
        <v>133</v>
      </c>
      <c r="J35" s="53" t="s">
        <v>134</v>
      </c>
      <c r="K35" s="52">
        <v>436</v>
      </c>
      <c r="L35" s="52" t="s">
        <v>135</v>
      </c>
      <c r="M35" s="53" t="s">
        <v>94</v>
      </c>
      <c r="N35" s="53"/>
      <c r="O35" s="54" t="s">
        <v>95</v>
      </c>
      <c r="P35" s="54" t="s">
        <v>96</v>
      </c>
    </row>
    <row r="36" spans="1:16" ht="12.75" customHeight="1" thickBot="1" x14ac:dyDescent="0.25">
      <c r="A36" s="10" t="str">
        <f t="shared" si="0"/>
        <v> AN 260.292 </v>
      </c>
      <c r="B36" s="3" t="str">
        <f t="shared" si="1"/>
        <v>I</v>
      </c>
      <c r="C36" s="10">
        <f t="shared" si="2"/>
        <v>27480.143</v>
      </c>
      <c r="D36" s="13" t="str">
        <f t="shared" si="3"/>
        <v>vis</v>
      </c>
      <c r="E36" s="51">
        <f>VLOOKUP(C36,Active!C$21:E$973,3,FALSE)</f>
        <v>439.99013910306877</v>
      </c>
      <c r="F36" s="3" t="s">
        <v>60</v>
      </c>
      <c r="G36" s="13" t="str">
        <f t="shared" si="4"/>
        <v>27480.143</v>
      </c>
      <c r="H36" s="10">
        <f t="shared" si="5"/>
        <v>440</v>
      </c>
      <c r="I36" s="52" t="s">
        <v>136</v>
      </c>
      <c r="J36" s="53" t="s">
        <v>137</v>
      </c>
      <c r="K36" s="52">
        <v>440</v>
      </c>
      <c r="L36" s="52" t="s">
        <v>138</v>
      </c>
      <c r="M36" s="53" t="s">
        <v>66</v>
      </c>
      <c r="N36" s="53"/>
      <c r="O36" s="54" t="s">
        <v>139</v>
      </c>
      <c r="P36" s="54" t="s">
        <v>140</v>
      </c>
    </row>
    <row r="37" spans="1:16" ht="12.75" customHeight="1" thickBot="1" x14ac:dyDescent="0.25">
      <c r="A37" s="10" t="str">
        <f t="shared" si="0"/>
        <v> AN 260.292 </v>
      </c>
      <c r="B37" s="3" t="str">
        <f t="shared" si="1"/>
        <v>I</v>
      </c>
      <c r="C37" s="10">
        <f t="shared" si="2"/>
        <v>27485.342000000001</v>
      </c>
      <c r="D37" s="13" t="str">
        <f t="shared" si="3"/>
        <v>vis</v>
      </c>
      <c r="E37" s="51">
        <f>VLOOKUP(C37,Active!C$21:E$973,3,FALSE)</f>
        <v>440.98930296802382</v>
      </c>
      <c r="F37" s="3" t="s">
        <v>60</v>
      </c>
      <c r="G37" s="13" t="str">
        <f t="shared" si="4"/>
        <v>27485.342</v>
      </c>
      <c r="H37" s="10">
        <f t="shared" si="5"/>
        <v>441</v>
      </c>
      <c r="I37" s="52" t="s">
        <v>141</v>
      </c>
      <c r="J37" s="53" t="s">
        <v>142</v>
      </c>
      <c r="K37" s="52">
        <v>441</v>
      </c>
      <c r="L37" s="52" t="s">
        <v>143</v>
      </c>
      <c r="M37" s="53" t="s">
        <v>66</v>
      </c>
      <c r="N37" s="53"/>
      <c r="O37" s="54" t="s">
        <v>139</v>
      </c>
      <c r="P37" s="54" t="s">
        <v>140</v>
      </c>
    </row>
    <row r="38" spans="1:16" ht="12.75" customHeight="1" thickBot="1" x14ac:dyDescent="0.25">
      <c r="A38" s="10" t="str">
        <f t="shared" si="0"/>
        <v> AN 260.292 </v>
      </c>
      <c r="B38" s="3" t="str">
        <f t="shared" si="1"/>
        <v>I</v>
      </c>
      <c r="C38" s="10">
        <f t="shared" si="2"/>
        <v>27516.535</v>
      </c>
      <c r="D38" s="13" t="str">
        <f t="shared" si="3"/>
        <v>vis</v>
      </c>
      <c r="E38" s="51">
        <f>VLOOKUP(C38,Active!C$21:E$973,3,FALSE)</f>
        <v>446.98409397389815</v>
      </c>
      <c r="F38" s="3" t="s">
        <v>60</v>
      </c>
      <c r="G38" s="13" t="str">
        <f t="shared" si="4"/>
        <v>27516.535</v>
      </c>
      <c r="H38" s="10">
        <f t="shared" si="5"/>
        <v>447</v>
      </c>
      <c r="I38" s="52" t="s">
        <v>144</v>
      </c>
      <c r="J38" s="53" t="s">
        <v>145</v>
      </c>
      <c r="K38" s="52">
        <v>447</v>
      </c>
      <c r="L38" s="52" t="s">
        <v>146</v>
      </c>
      <c r="M38" s="53" t="s">
        <v>66</v>
      </c>
      <c r="N38" s="53"/>
      <c r="O38" s="54" t="s">
        <v>139</v>
      </c>
      <c r="P38" s="54" t="s">
        <v>140</v>
      </c>
    </row>
    <row r="39" spans="1:16" ht="12.75" customHeight="1" thickBot="1" x14ac:dyDescent="0.25">
      <c r="A39" s="10" t="str">
        <f t="shared" si="0"/>
        <v> AN 260.292 </v>
      </c>
      <c r="B39" s="3" t="str">
        <f t="shared" si="1"/>
        <v>I</v>
      </c>
      <c r="C39" s="10">
        <f t="shared" si="2"/>
        <v>27724.703000000001</v>
      </c>
      <c r="D39" s="13" t="str">
        <f t="shared" si="3"/>
        <v>vis</v>
      </c>
      <c r="E39" s="51">
        <f>VLOOKUP(C39,Active!C$21:E$973,3,FALSE)</f>
        <v>486.9906228140506</v>
      </c>
      <c r="F39" s="3" t="s">
        <v>60</v>
      </c>
      <c r="G39" s="13" t="str">
        <f t="shared" si="4"/>
        <v>27724.703</v>
      </c>
      <c r="H39" s="10">
        <f t="shared" si="5"/>
        <v>487</v>
      </c>
      <c r="I39" s="52" t="s">
        <v>147</v>
      </c>
      <c r="J39" s="53" t="s">
        <v>148</v>
      </c>
      <c r="K39" s="52">
        <v>487</v>
      </c>
      <c r="L39" s="52" t="s">
        <v>149</v>
      </c>
      <c r="M39" s="53" t="s">
        <v>66</v>
      </c>
      <c r="N39" s="53"/>
      <c r="O39" s="54" t="s">
        <v>139</v>
      </c>
      <c r="P39" s="54" t="s">
        <v>140</v>
      </c>
    </row>
    <row r="40" spans="1:16" ht="12.75" customHeight="1" thickBot="1" x14ac:dyDescent="0.25">
      <c r="A40" s="10" t="str">
        <f t="shared" si="0"/>
        <v> AN 260.292 </v>
      </c>
      <c r="B40" s="3" t="str">
        <f t="shared" si="1"/>
        <v>I</v>
      </c>
      <c r="C40" s="10">
        <f t="shared" si="2"/>
        <v>27870.403999999999</v>
      </c>
      <c r="D40" s="13" t="str">
        <f t="shared" si="3"/>
        <v>vis</v>
      </c>
      <c r="E40" s="51">
        <f>VLOOKUP(C40,Active!C$21:E$973,3,FALSE)</f>
        <v>514.9920027501546</v>
      </c>
      <c r="F40" s="3" t="s">
        <v>60</v>
      </c>
      <c r="G40" s="13" t="str">
        <f t="shared" si="4"/>
        <v>27870.404</v>
      </c>
      <c r="H40" s="10">
        <f t="shared" si="5"/>
        <v>515</v>
      </c>
      <c r="I40" s="52" t="s">
        <v>150</v>
      </c>
      <c r="J40" s="53" t="s">
        <v>151</v>
      </c>
      <c r="K40" s="52">
        <v>515</v>
      </c>
      <c r="L40" s="52" t="s">
        <v>152</v>
      </c>
      <c r="M40" s="53" t="s">
        <v>66</v>
      </c>
      <c r="N40" s="53"/>
      <c r="O40" s="54" t="s">
        <v>139</v>
      </c>
      <c r="P40" s="54" t="s">
        <v>140</v>
      </c>
    </row>
    <row r="41" spans="1:16" ht="12.75" customHeight="1" thickBot="1" x14ac:dyDescent="0.25">
      <c r="A41" s="10" t="str">
        <f t="shared" si="0"/>
        <v> AN 260.292 </v>
      </c>
      <c r="B41" s="3" t="str">
        <f t="shared" si="1"/>
        <v>I</v>
      </c>
      <c r="C41" s="10">
        <f t="shared" si="2"/>
        <v>28026.46</v>
      </c>
      <c r="D41" s="13" t="str">
        <f t="shared" si="3"/>
        <v>vis</v>
      </c>
      <c r="E41" s="51">
        <f>VLOOKUP(C41,Active!C$21:E$973,3,FALSE)</f>
        <v>544.98344651038099</v>
      </c>
      <c r="F41" s="3" t="s">
        <v>60</v>
      </c>
      <c r="G41" s="13" t="str">
        <f t="shared" si="4"/>
        <v>28026.460</v>
      </c>
      <c r="H41" s="10">
        <f t="shared" si="5"/>
        <v>545</v>
      </c>
      <c r="I41" s="52" t="s">
        <v>153</v>
      </c>
      <c r="J41" s="53" t="s">
        <v>154</v>
      </c>
      <c r="K41" s="52">
        <v>545</v>
      </c>
      <c r="L41" s="52" t="s">
        <v>155</v>
      </c>
      <c r="M41" s="53" t="s">
        <v>66</v>
      </c>
      <c r="N41" s="53"/>
      <c r="O41" s="54" t="s">
        <v>139</v>
      </c>
      <c r="P41" s="54" t="s">
        <v>140</v>
      </c>
    </row>
    <row r="42" spans="1:16" ht="12.75" customHeight="1" thickBot="1" x14ac:dyDescent="0.25">
      <c r="A42" s="10" t="str">
        <f t="shared" si="0"/>
        <v> AN 260.292 </v>
      </c>
      <c r="B42" s="3" t="str">
        <f t="shared" si="1"/>
        <v>I</v>
      </c>
      <c r="C42" s="10">
        <f t="shared" si="2"/>
        <v>28073.309000000001</v>
      </c>
      <c r="D42" s="13" t="str">
        <f t="shared" si="3"/>
        <v>vis</v>
      </c>
      <c r="E42" s="51">
        <f>VLOOKUP(C42,Active!C$21:E$973,3,FALSE)</f>
        <v>553.98706795859766</v>
      </c>
      <c r="F42" s="3" t="s">
        <v>60</v>
      </c>
      <c r="G42" s="13" t="str">
        <f t="shared" si="4"/>
        <v>28073.309</v>
      </c>
      <c r="H42" s="10">
        <f t="shared" si="5"/>
        <v>554</v>
      </c>
      <c r="I42" s="52" t="s">
        <v>156</v>
      </c>
      <c r="J42" s="53" t="s">
        <v>157</v>
      </c>
      <c r="K42" s="52">
        <v>554</v>
      </c>
      <c r="L42" s="52" t="s">
        <v>158</v>
      </c>
      <c r="M42" s="53" t="s">
        <v>66</v>
      </c>
      <c r="N42" s="53"/>
      <c r="O42" s="54" t="s">
        <v>139</v>
      </c>
      <c r="P42" s="54" t="s">
        <v>140</v>
      </c>
    </row>
    <row r="43" spans="1:16" ht="12.75" customHeight="1" thickBot="1" x14ac:dyDescent="0.25">
      <c r="A43" s="10" t="str">
        <f t="shared" ref="A43:A64" si="6">P43</f>
        <v> AN 260.292 </v>
      </c>
      <c r="B43" s="3" t="str">
        <f t="shared" ref="B43:B64" si="7">IF(H43=INT(H43),"I","II")</f>
        <v>I</v>
      </c>
      <c r="C43" s="10">
        <f t="shared" ref="C43:C64" si="8">1*G43</f>
        <v>28151.314999999999</v>
      </c>
      <c r="D43" s="13" t="str">
        <f t="shared" ref="D43:D64" si="9">VLOOKUP(F43,I$1:J$5,2,FALSE)</f>
        <v>vis</v>
      </c>
      <c r="E43" s="51">
        <f>VLOOKUP(C43,Active!C$21:E$973,3,FALSE)</f>
        <v>568.97856179388839</v>
      </c>
      <c r="F43" s="3" t="s">
        <v>60</v>
      </c>
      <c r="G43" s="13" t="str">
        <f t="shared" ref="G43:G64" si="10">MID(I43,3,LEN(I43)-3)</f>
        <v>28151.315</v>
      </c>
      <c r="H43" s="10">
        <f t="shared" ref="H43:H64" si="11">1*K43</f>
        <v>569</v>
      </c>
      <c r="I43" s="52" t="s">
        <v>159</v>
      </c>
      <c r="J43" s="53" t="s">
        <v>160</v>
      </c>
      <c r="K43" s="52">
        <v>569</v>
      </c>
      <c r="L43" s="52" t="s">
        <v>161</v>
      </c>
      <c r="M43" s="53" t="s">
        <v>66</v>
      </c>
      <c r="N43" s="53"/>
      <c r="O43" s="54" t="s">
        <v>139</v>
      </c>
      <c r="P43" s="54" t="s">
        <v>140</v>
      </c>
    </row>
    <row r="44" spans="1:16" ht="12.75" customHeight="1" thickBot="1" x14ac:dyDescent="0.25">
      <c r="A44" s="10" t="str">
        <f t="shared" si="6"/>
        <v> AN 260.292 </v>
      </c>
      <c r="B44" s="3" t="str">
        <f t="shared" si="7"/>
        <v>I</v>
      </c>
      <c r="C44" s="10">
        <f t="shared" si="8"/>
        <v>28250.225999999999</v>
      </c>
      <c r="D44" s="13" t="str">
        <f t="shared" si="9"/>
        <v>vis</v>
      </c>
      <c r="E44" s="51">
        <f>VLOOKUP(C44,Active!C$21:E$973,3,FALSE)</f>
        <v>587.98765912925353</v>
      </c>
      <c r="F44" s="3" t="s">
        <v>60</v>
      </c>
      <c r="G44" s="13" t="str">
        <f t="shared" si="10"/>
        <v>28250.226</v>
      </c>
      <c r="H44" s="10">
        <f t="shared" si="11"/>
        <v>588</v>
      </c>
      <c r="I44" s="52" t="s">
        <v>162</v>
      </c>
      <c r="J44" s="53" t="s">
        <v>163</v>
      </c>
      <c r="K44" s="52">
        <v>588</v>
      </c>
      <c r="L44" s="52" t="s">
        <v>138</v>
      </c>
      <c r="M44" s="53" t="s">
        <v>66</v>
      </c>
      <c r="N44" s="53"/>
      <c r="O44" s="54" t="s">
        <v>139</v>
      </c>
      <c r="P44" s="54" t="s">
        <v>140</v>
      </c>
    </row>
    <row r="45" spans="1:16" ht="12.75" customHeight="1" thickBot="1" x14ac:dyDescent="0.25">
      <c r="A45" s="10" t="str">
        <f t="shared" si="6"/>
        <v> VB 5.12 </v>
      </c>
      <c r="B45" s="3" t="str">
        <f t="shared" si="7"/>
        <v>I</v>
      </c>
      <c r="C45" s="10">
        <f t="shared" si="8"/>
        <v>28250.324000000001</v>
      </c>
      <c r="D45" s="13" t="str">
        <f t="shared" si="9"/>
        <v>vis</v>
      </c>
      <c r="E45" s="51">
        <f>VLOOKUP(C45,Active!C$21:E$973,3,FALSE)</f>
        <v>588.00649314709688</v>
      </c>
      <c r="F45" s="3" t="s">
        <v>60</v>
      </c>
      <c r="G45" s="13" t="str">
        <f t="shared" si="10"/>
        <v>28250.324</v>
      </c>
      <c r="H45" s="10">
        <f t="shared" si="11"/>
        <v>588</v>
      </c>
      <c r="I45" s="52" t="s">
        <v>164</v>
      </c>
      <c r="J45" s="53" t="s">
        <v>165</v>
      </c>
      <c r="K45" s="52">
        <v>588</v>
      </c>
      <c r="L45" s="52" t="s">
        <v>166</v>
      </c>
      <c r="M45" s="53" t="s">
        <v>94</v>
      </c>
      <c r="N45" s="53"/>
      <c r="O45" s="54" t="s">
        <v>95</v>
      </c>
      <c r="P45" s="54" t="s">
        <v>96</v>
      </c>
    </row>
    <row r="46" spans="1:16" ht="12.75" customHeight="1" thickBot="1" x14ac:dyDescent="0.25">
      <c r="A46" s="10" t="str">
        <f t="shared" si="6"/>
        <v> VB 5.12 </v>
      </c>
      <c r="B46" s="3" t="str">
        <f t="shared" si="7"/>
        <v>I</v>
      </c>
      <c r="C46" s="10">
        <f t="shared" si="8"/>
        <v>28947.316999999999</v>
      </c>
      <c r="D46" s="13" t="str">
        <f t="shared" si="9"/>
        <v>vis</v>
      </c>
      <c r="E46" s="51">
        <f>VLOOKUP(C46,Active!C$21:E$973,3,FALSE)</f>
        <v>721.95729517182747</v>
      </c>
      <c r="F46" s="3" t="s">
        <v>60</v>
      </c>
      <c r="G46" s="13" t="str">
        <f t="shared" si="10"/>
        <v>28947.317</v>
      </c>
      <c r="H46" s="10">
        <f t="shared" si="11"/>
        <v>722</v>
      </c>
      <c r="I46" s="52" t="s">
        <v>167</v>
      </c>
      <c r="J46" s="53" t="s">
        <v>168</v>
      </c>
      <c r="K46" s="52">
        <v>722</v>
      </c>
      <c r="L46" s="52" t="s">
        <v>169</v>
      </c>
      <c r="M46" s="53" t="s">
        <v>94</v>
      </c>
      <c r="N46" s="53"/>
      <c r="O46" s="54" t="s">
        <v>95</v>
      </c>
      <c r="P46" s="54" t="s">
        <v>96</v>
      </c>
    </row>
    <row r="47" spans="1:16" ht="12.75" customHeight="1" thickBot="1" x14ac:dyDescent="0.25">
      <c r="A47" s="10" t="str">
        <f t="shared" si="6"/>
        <v> PZ 15.438 </v>
      </c>
      <c r="B47" s="3" t="str">
        <f t="shared" si="7"/>
        <v>I</v>
      </c>
      <c r="C47" s="10">
        <f t="shared" si="8"/>
        <v>29004.757000000001</v>
      </c>
      <c r="D47" s="13" t="str">
        <f t="shared" si="9"/>
        <v>vis</v>
      </c>
      <c r="E47" s="51">
        <f>VLOOKUP(C47,Active!C$21:E$973,3,FALSE)</f>
        <v>732.99633583407342</v>
      </c>
      <c r="F47" s="3" t="s">
        <v>60</v>
      </c>
      <c r="G47" s="13" t="str">
        <f t="shared" si="10"/>
        <v>29004.757</v>
      </c>
      <c r="H47" s="10">
        <f t="shared" si="11"/>
        <v>733</v>
      </c>
      <c r="I47" s="52" t="s">
        <v>170</v>
      </c>
      <c r="J47" s="53" t="s">
        <v>171</v>
      </c>
      <c r="K47" s="52">
        <v>733</v>
      </c>
      <c r="L47" s="52" t="s">
        <v>172</v>
      </c>
      <c r="M47" s="53" t="s">
        <v>62</v>
      </c>
      <c r="N47" s="53"/>
      <c r="O47" s="54" t="s">
        <v>173</v>
      </c>
      <c r="P47" s="54" t="s">
        <v>174</v>
      </c>
    </row>
    <row r="48" spans="1:16" ht="12.75" customHeight="1" thickBot="1" x14ac:dyDescent="0.25">
      <c r="A48" s="10" t="str">
        <f t="shared" si="6"/>
        <v> HA 113.75 </v>
      </c>
      <c r="B48" s="3" t="str">
        <f t="shared" si="7"/>
        <v>II</v>
      </c>
      <c r="C48" s="10">
        <f t="shared" si="8"/>
        <v>30079.42</v>
      </c>
      <c r="D48" s="13" t="str">
        <f t="shared" si="9"/>
        <v>vis</v>
      </c>
      <c r="E48" s="51">
        <f>VLOOKUP(C48,Active!C$21:E$973,3,FALSE)</f>
        <v>939.52921458077958</v>
      </c>
      <c r="F48" s="3" t="s">
        <v>60</v>
      </c>
      <c r="G48" s="13" t="str">
        <f t="shared" si="10"/>
        <v>30079.420</v>
      </c>
      <c r="H48" s="10">
        <f t="shared" si="11"/>
        <v>939.5</v>
      </c>
      <c r="I48" s="52" t="s">
        <v>175</v>
      </c>
      <c r="J48" s="53" t="s">
        <v>176</v>
      </c>
      <c r="K48" s="52">
        <v>939.5</v>
      </c>
      <c r="L48" s="52" t="s">
        <v>177</v>
      </c>
      <c r="M48" s="53" t="s">
        <v>62</v>
      </c>
      <c r="N48" s="53"/>
      <c r="O48" s="54" t="s">
        <v>178</v>
      </c>
      <c r="P48" s="54" t="s">
        <v>179</v>
      </c>
    </row>
    <row r="49" spans="1:16" ht="12.75" customHeight="1" thickBot="1" x14ac:dyDescent="0.25">
      <c r="A49" s="10" t="str">
        <f t="shared" si="6"/>
        <v> BTOK 30 </v>
      </c>
      <c r="B49" s="3" t="str">
        <f t="shared" si="7"/>
        <v>I</v>
      </c>
      <c r="C49" s="10">
        <f t="shared" si="8"/>
        <v>33318.245999999999</v>
      </c>
      <c r="D49" s="13" t="str">
        <f t="shared" si="9"/>
        <v>vis</v>
      </c>
      <c r="E49" s="51">
        <f>VLOOKUP(C49,Active!C$21:E$973,3,FALSE)</f>
        <v>1561.9792826855539</v>
      </c>
      <c r="F49" s="3" t="s">
        <v>60</v>
      </c>
      <c r="G49" s="13" t="str">
        <f t="shared" si="10"/>
        <v>33318.246</v>
      </c>
      <c r="H49" s="10">
        <f t="shared" si="11"/>
        <v>1562</v>
      </c>
      <c r="I49" s="52" t="s">
        <v>180</v>
      </c>
      <c r="J49" s="53" t="s">
        <v>181</v>
      </c>
      <c r="K49" s="52">
        <v>1562</v>
      </c>
      <c r="L49" s="52" t="s">
        <v>74</v>
      </c>
      <c r="M49" s="53" t="s">
        <v>62</v>
      </c>
      <c r="N49" s="53"/>
      <c r="O49" s="54" t="s">
        <v>182</v>
      </c>
      <c r="P49" s="54" t="s">
        <v>183</v>
      </c>
    </row>
    <row r="50" spans="1:16" ht="12.75" customHeight="1" thickBot="1" x14ac:dyDescent="0.25">
      <c r="A50" s="10" t="str">
        <f t="shared" si="6"/>
        <v> PZ 15.439 </v>
      </c>
      <c r="B50" s="3" t="str">
        <f t="shared" si="7"/>
        <v>I</v>
      </c>
      <c r="C50" s="10">
        <f t="shared" si="8"/>
        <v>33583.623</v>
      </c>
      <c r="D50" s="13" t="str">
        <f t="shared" si="9"/>
        <v>vis</v>
      </c>
      <c r="E50" s="51">
        <f>VLOOKUP(C50,Active!C$21:E$973,3,FALSE)</f>
        <v>1612.9804577173218</v>
      </c>
      <c r="F50" s="3" t="s">
        <v>60</v>
      </c>
      <c r="G50" s="13" t="str">
        <f t="shared" si="10"/>
        <v>33583.623</v>
      </c>
      <c r="H50" s="10">
        <f t="shared" si="11"/>
        <v>1613</v>
      </c>
      <c r="I50" s="52" t="s">
        <v>184</v>
      </c>
      <c r="J50" s="53" t="s">
        <v>185</v>
      </c>
      <c r="K50" s="52">
        <v>1613</v>
      </c>
      <c r="L50" s="52" t="s">
        <v>186</v>
      </c>
      <c r="M50" s="53" t="s">
        <v>62</v>
      </c>
      <c r="N50" s="53"/>
      <c r="O50" s="54" t="s">
        <v>173</v>
      </c>
      <c r="P50" s="54" t="s">
        <v>187</v>
      </c>
    </row>
    <row r="51" spans="1:16" ht="12.75" customHeight="1" thickBot="1" x14ac:dyDescent="0.25">
      <c r="A51" s="10" t="str">
        <f t="shared" si="6"/>
        <v> BTOK 49 </v>
      </c>
      <c r="B51" s="3" t="str">
        <f t="shared" si="7"/>
        <v>I</v>
      </c>
      <c r="C51" s="10">
        <f t="shared" si="8"/>
        <v>33594.03</v>
      </c>
      <c r="D51" s="13" t="str">
        <f t="shared" si="9"/>
        <v>vis</v>
      </c>
      <c r="E51" s="51">
        <f>VLOOKUP(C51,Active!C$21:E$973,3,FALSE)</f>
        <v>1614.9805151019316</v>
      </c>
      <c r="F51" s="3" t="s">
        <v>60</v>
      </c>
      <c r="G51" s="13" t="str">
        <f t="shared" si="10"/>
        <v>33594.03</v>
      </c>
      <c r="H51" s="10">
        <f t="shared" si="11"/>
        <v>1615</v>
      </c>
      <c r="I51" s="52" t="s">
        <v>188</v>
      </c>
      <c r="J51" s="53" t="s">
        <v>189</v>
      </c>
      <c r="K51" s="52">
        <v>1615</v>
      </c>
      <c r="L51" s="52" t="s">
        <v>190</v>
      </c>
      <c r="M51" s="53" t="s">
        <v>62</v>
      </c>
      <c r="N51" s="53"/>
      <c r="O51" s="54" t="s">
        <v>182</v>
      </c>
      <c r="P51" s="54" t="s">
        <v>191</v>
      </c>
    </row>
    <row r="52" spans="1:16" ht="12.75" customHeight="1" thickBot="1" x14ac:dyDescent="0.25">
      <c r="A52" s="10" t="str">
        <f t="shared" si="6"/>
        <v> PZ 15.439 </v>
      </c>
      <c r="B52" s="3" t="str">
        <f t="shared" si="7"/>
        <v>I</v>
      </c>
      <c r="C52" s="10">
        <f t="shared" si="8"/>
        <v>33630.381999999998</v>
      </c>
      <c r="D52" s="13" t="str">
        <f t="shared" si="9"/>
        <v>vis</v>
      </c>
      <c r="E52" s="51">
        <f>VLOOKUP(C52,Active!C$21:E$973,3,FALSE)</f>
        <v>1621.9667826185391</v>
      </c>
      <c r="F52" s="3" t="s">
        <v>60</v>
      </c>
      <c r="G52" s="13" t="str">
        <f t="shared" si="10"/>
        <v>33630.382</v>
      </c>
      <c r="H52" s="10">
        <f t="shared" si="11"/>
        <v>1622</v>
      </c>
      <c r="I52" s="52" t="s">
        <v>192</v>
      </c>
      <c r="J52" s="53" t="s">
        <v>193</v>
      </c>
      <c r="K52" s="52">
        <v>1622</v>
      </c>
      <c r="L52" s="52" t="s">
        <v>194</v>
      </c>
      <c r="M52" s="53" t="s">
        <v>62</v>
      </c>
      <c r="N52" s="53"/>
      <c r="O52" s="54" t="s">
        <v>173</v>
      </c>
      <c r="P52" s="54" t="s">
        <v>187</v>
      </c>
    </row>
    <row r="53" spans="1:16" ht="12.75" customHeight="1" thickBot="1" x14ac:dyDescent="0.25">
      <c r="A53" s="10" t="str">
        <f t="shared" si="6"/>
        <v> PZ 15.438 </v>
      </c>
      <c r="B53" s="3" t="str">
        <f t="shared" si="7"/>
        <v>I</v>
      </c>
      <c r="C53" s="10">
        <f t="shared" si="8"/>
        <v>34140.358999999997</v>
      </c>
      <c r="D53" s="13" t="str">
        <f t="shared" si="9"/>
        <v>vis</v>
      </c>
      <c r="E53" s="51">
        <f>VLOOKUP(C53,Active!C$21:E$973,3,FALSE)</f>
        <v>1719.97612871551</v>
      </c>
      <c r="F53" s="3" t="s">
        <v>60</v>
      </c>
      <c r="G53" s="13" t="str">
        <f t="shared" si="10"/>
        <v>34140.359</v>
      </c>
      <c r="H53" s="10">
        <f t="shared" si="11"/>
        <v>1720</v>
      </c>
      <c r="I53" s="52" t="s">
        <v>195</v>
      </c>
      <c r="J53" s="53" t="s">
        <v>196</v>
      </c>
      <c r="K53" s="52">
        <v>1720</v>
      </c>
      <c r="L53" s="52" t="s">
        <v>71</v>
      </c>
      <c r="M53" s="53" t="s">
        <v>62</v>
      </c>
      <c r="N53" s="53"/>
      <c r="O53" s="54" t="s">
        <v>173</v>
      </c>
      <c r="P53" s="54" t="s">
        <v>174</v>
      </c>
    </row>
    <row r="54" spans="1:16" ht="12.75" customHeight="1" thickBot="1" x14ac:dyDescent="0.25">
      <c r="A54" s="10" t="str">
        <f t="shared" si="6"/>
        <v> PZ 15.438 </v>
      </c>
      <c r="B54" s="3" t="str">
        <f t="shared" si="7"/>
        <v>I</v>
      </c>
      <c r="C54" s="10">
        <f t="shared" si="8"/>
        <v>37267.523999999998</v>
      </c>
      <c r="D54" s="13" t="str">
        <f t="shared" si="9"/>
        <v>vis</v>
      </c>
      <c r="E54" s="51">
        <f>VLOOKUP(C54,Active!C$21:E$973,3,FALSE)</f>
        <v>2320.9667553267782</v>
      </c>
      <c r="F54" s="3" t="s">
        <v>60</v>
      </c>
      <c r="G54" s="13" t="str">
        <f t="shared" si="10"/>
        <v>37267.524</v>
      </c>
      <c r="H54" s="10">
        <f t="shared" si="11"/>
        <v>2321</v>
      </c>
      <c r="I54" s="52" t="s">
        <v>197</v>
      </c>
      <c r="J54" s="53" t="s">
        <v>198</v>
      </c>
      <c r="K54" s="52">
        <v>2321</v>
      </c>
      <c r="L54" s="52" t="s">
        <v>74</v>
      </c>
      <c r="M54" s="53" t="s">
        <v>62</v>
      </c>
      <c r="N54" s="53"/>
      <c r="O54" s="54" t="s">
        <v>173</v>
      </c>
      <c r="P54" s="54" t="s">
        <v>174</v>
      </c>
    </row>
    <row r="55" spans="1:16" ht="12.75" customHeight="1" thickBot="1" x14ac:dyDescent="0.25">
      <c r="A55" s="10" t="str">
        <f t="shared" si="6"/>
        <v> HABZ 94 </v>
      </c>
      <c r="B55" s="3" t="str">
        <f t="shared" si="7"/>
        <v>I</v>
      </c>
      <c r="C55" s="10">
        <f t="shared" si="8"/>
        <v>37319.466</v>
      </c>
      <c r="D55" s="13" t="str">
        <f t="shared" si="9"/>
        <v>vis</v>
      </c>
      <c r="E55" s="51">
        <f>VLOOKUP(C55,Active!C$21:E$973,3,FALSE)</f>
        <v>2330.9491691512626</v>
      </c>
      <c r="F55" s="3" t="s">
        <v>60</v>
      </c>
      <c r="G55" s="13" t="str">
        <f t="shared" si="10"/>
        <v>37319.466</v>
      </c>
      <c r="H55" s="10">
        <f t="shared" si="11"/>
        <v>2331</v>
      </c>
      <c r="I55" s="52" t="s">
        <v>199</v>
      </c>
      <c r="J55" s="53" t="s">
        <v>200</v>
      </c>
      <c r="K55" s="52">
        <v>2331</v>
      </c>
      <c r="L55" s="52" t="s">
        <v>201</v>
      </c>
      <c r="M55" s="53" t="s">
        <v>94</v>
      </c>
      <c r="N55" s="53"/>
      <c r="O55" s="54" t="s">
        <v>202</v>
      </c>
      <c r="P55" s="54" t="s">
        <v>203</v>
      </c>
    </row>
    <row r="56" spans="1:16" ht="12.75" customHeight="1" thickBot="1" x14ac:dyDescent="0.25">
      <c r="A56" s="10" t="str">
        <f t="shared" si="6"/>
        <v> MVS 2.125 </v>
      </c>
      <c r="B56" s="3" t="str">
        <f t="shared" si="7"/>
        <v>I</v>
      </c>
      <c r="C56" s="10">
        <f t="shared" si="8"/>
        <v>37366.288</v>
      </c>
      <c r="D56" s="13" t="str">
        <f t="shared" si="9"/>
        <v>vis</v>
      </c>
      <c r="E56" s="51">
        <f>VLOOKUP(C56,Active!C$21:E$973,3,FALSE)</f>
        <v>2339.9476016353792</v>
      </c>
      <c r="F56" s="3" t="s">
        <v>60</v>
      </c>
      <c r="G56" s="13" t="str">
        <f t="shared" si="10"/>
        <v>37366.288</v>
      </c>
      <c r="H56" s="10">
        <f t="shared" si="11"/>
        <v>2340</v>
      </c>
      <c r="I56" s="52" t="s">
        <v>204</v>
      </c>
      <c r="J56" s="53" t="s">
        <v>205</v>
      </c>
      <c r="K56" s="52">
        <v>2340</v>
      </c>
      <c r="L56" s="52" t="s">
        <v>206</v>
      </c>
      <c r="M56" s="53" t="s">
        <v>94</v>
      </c>
      <c r="N56" s="53"/>
      <c r="O56" s="54" t="s">
        <v>207</v>
      </c>
      <c r="P56" s="54" t="s">
        <v>208</v>
      </c>
    </row>
    <row r="57" spans="1:16" ht="12.75" customHeight="1" thickBot="1" x14ac:dyDescent="0.25">
      <c r="A57" s="10" t="str">
        <f t="shared" si="6"/>
        <v> MVS 2.125 </v>
      </c>
      <c r="B57" s="3" t="str">
        <f t="shared" si="7"/>
        <v>I</v>
      </c>
      <c r="C57" s="10">
        <f t="shared" si="8"/>
        <v>37579.591</v>
      </c>
      <c r="D57" s="13" t="str">
        <f t="shared" si="9"/>
        <v>vis</v>
      </c>
      <c r="E57" s="51">
        <f>VLOOKUP(C57,Active!C$21:E$973,3,FALSE)</f>
        <v>2380.940994573732</v>
      </c>
      <c r="F57" s="3" t="s">
        <v>60</v>
      </c>
      <c r="G57" s="13" t="str">
        <f t="shared" si="10"/>
        <v>37579.591</v>
      </c>
      <c r="H57" s="10">
        <f t="shared" si="11"/>
        <v>2381</v>
      </c>
      <c r="I57" s="52" t="s">
        <v>209</v>
      </c>
      <c r="J57" s="53" t="s">
        <v>210</v>
      </c>
      <c r="K57" s="52">
        <v>2381</v>
      </c>
      <c r="L57" s="52" t="s">
        <v>211</v>
      </c>
      <c r="M57" s="53" t="s">
        <v>94</v>
      </c>
      <c r="N57" s="53"/>
      <c r="O57" s="54" t="s">
        <v>207</v>
      </c>
      <c r="P57" s="54" t="s">
        <v>208</v>
      </c>
    </row>
    <row r="58" spans="1:16" ht="12.75" customHeight="1" thickBot="1" x14ac:dyDescent="0.25">
      <c r="A58" s="10" t="str">
        <f t="shared" si="6"/>
        <v> HABZ 94 </v>
      </c>
      <c r="B58" s="3" t="str">
        <f t="shared" si="7"/>
        <v>I</v>
      </c>
      <c r="C58" s="10">
        <f t="shared" si="8"/>
        <v>38084.400999999998</v>
      </c>
      <c r="D58" s="13" t="str">
        <f t="shared" si="9"/>
        <v>vis</v>
      </c>
      <c r="E58" s="51">
        <f>VLOOKUP(C58,Active!C$21:E$973,3,FALSE)</f>
        <v>2477.9573266891248</v>
      </c>
      <c r="F58" s="3" t="s">
        <v>60</v>
      </c>
      <c r="G58" s="13" t="str">
        <f t="shared" si="10"/>
        <v>38084.401</v>
      </c>
      <c r="H58" s="10">
        <f t="shared" si="11"/>
        <v>2478</v>
      </c>
      <c r="I58" s="52" t="s">
        <v>212</v>
      </c>
      <c r="J58" s="53" t="s">
        <v>213</v>
      </c>
      <c r="K58" s="52">
        <v>2478</v>
      </c>
      <c r="L58" s="52" t="s">
        <v>214</v>
      </c>
      <c r="M58" s="53" t="s">
        <v>94</v>
      </c>
      <c r="N58" s="53"/>
      <c r="O58" s="54" t="s">
        <v>202</v>
      </c>
      <c r="P58" s="54" t="s">
        <v>203</v>
      </c>
    </row>
    <row r="59" spans="1:16" ht="12.75" customHeight="1" thickBot="1" x14ac:dyDescent="0.25">
      <c r="A59" s="10" t="str">
        <f t="shared" si="6"/>
        <v> HABZ 94 </v>
      </c>
      <c r="B59" s="3" t="str">
        <f t="shared" si="7"/>
        <v>I</v>
      </c>
      <c r="C59" s="10">
        <f t="shared" si="8"/>
        <v>38412.245000000003</v>
      </c>
      <c r="D59" s="13" t="str">
        <f t="shared" si="9"/>
        <v>vis</v>
      </c>
      <c r="E59" s="51">
        <f>VLOOKUP(C59,Active!C$21:E$973,3,FALSE)</f>
        <v>2540.9636506249412</v>
      </c>
      <c r="F59" s="3" t="s">
        <v>60</v>
      </c>
      <c r="G59" s="13" t="str">
        <f t="shared" si="10"/>
        <v>38412.245</v>
      </c>
      <c r="H59" s="10">
        <f t="shared" si="11"/>
        <v>2541</v>
      </c>
      <c r="I59" s="52" t="s">
        <v>215</v>
      </c>
      <c r="J59" s="53" t="s">
        <v>216</v>
      </c>
      <c r="K59" s="52">
        <v>2541</v>
      </c>
      <c r="L59" s="52" t="s">
        <v>217</v>
      </c>
      <c r="M59" s="53" t="s">
        <v>94</v>
      </c>
      <c r="N59" s="53"/>
      <c r="O59" s="54" t="s">
        <v>202</v>
      </c>
      <c r="P59" s="54" t="s">
        <v>203</v>
      </c>
    </row>
    <row r="60" spans="1:16" ht="12.75" customHeight="1" thickBot="1" x14ac:dyDescent="0.25">
      <c r="A60" s="10" t="str">
        <f t="shared" si="6"/>
        <v> HABZ 94 </v>
      </c>
      <c r="B60" s="3" t="str">
        <f t="shared" si="7"/>
        <v>I</v>
      </c>
      <c r="C60" s="10">
        <f t="shared" si="8"/>
        <v>41331.311999999998</v>
      </c>
      <c r="D60" s="13" t="str">
        <f t="shared" si="9"/>
        <v>vis</v>
      </c>
      <c r="E60" s="51">
        <f>VLOOKUP(C60,Active!C$21:E$973,3,FALSE)</f>
        <v>3101.9612012659436</v>
      </c>
      <c r="F60" s="3" t="s">
        <v>60</v>
      </c>
      <c r="G60" s="13" t="str">
        <f t="shared" si="10"/>
        <v>41331.312</v>
      </c>
      <c r="H60" s="10">
        <f t="shared" si="11"/>
        <v>3102</v>
      </c>
      <c r="I60" s="52" t="s">
        <v>218</v>
      </c>
      <c r="J60" s="53" t="s">
        <v>219</v>
      </c>
      <c r="K60" s="52">
        <v>3102</v>
      </c>
      <c r="L60" s="52" t="s">
        <v>220</v>
      </c>
      <c r="M60" s="53" t="s">
        <v>94</v>
      </c>
      <c r="N60" s="53"/>
      <c r="O60" s="54" t="s">
        <v>202</v>
      </c>
      <c r="P60" s="54" t="s">
        <v>203</v>
      </c>
    </row>
    <row r="61" spans="1:16" ht="12.75" customHeight="1" thickBot="1" x14ac:dyDescent="0.25">
      <c r="A61" s="10" t="str">
        <f t="shared" si="6"/>
        <v> BBS 8 </v>
      </c>
      <c r="B61" s="3" t="str">
        <f t="shared" si="7"/>
        <v>I</v>
      </c>
      <c r="C61" s="10">
        <f t="shared" si="8"/>
        <v>41721.4</v>
      </c>
      <c r="D61" s="13" t="str">
        <f t="shared" si="9"/>
        <v>vis</v>
      </c>
      <c r="E61" s="51">
        <f>VLOOKUP(C61,Active!C$21:E$973,3,FALSE)</f>
        <v>3176.9298171060223</v>
      </c>
      <c r="F61" s="3" t="s">
        <v>60</v>
      </c>
      <c r="G61" s="13" t="str">
        <f t="shared" si="10"/>
        <v>41721.400</v>
      </c>
      <c r="H61" s="10">
        <f t="shared" si="11"/>
        <v>3177</v>
      </c>
      <c r="I61" s="52" t="s">
        <v>221</v>
      </c>
      <c r="J61" s="53" t="s">
        <v>222</v>
      </c>
      <c r="K61" s="52">
        <v>3177</v>
      </c>
      <c r="L61" s="52" t="s">
        <v>223</v>
      </c>
      <c r="M61" s="53" t="s">
        <v>66</v>
      </c>
      <c r="N61" s="53"/>
      <c r="O61" s="54" t="s">
        <v>224</v>
      </c>
      <c r="P61" s="54" t="s">
        <v>225</v>
      </c>
    </row>
    <row r="62" spans="1:16" ht="12.75" customHeight="1" thickBot="1" x14ac:dyDescent="0.25">
      <c r="A62" s="10" t="str">
        <f t="shared" si="6"/>
        <v> HABZ 94 </v>
      </c>
      <c r="B62" s="3" t="str">
        <f t="shared" si="7"/>
        <v>I</v>
      </c>
      <c r="C62" s="10">
        <f t="shared" si="8"/>
        <v>42460.364000000001</v>
      </c>
      <c r="D62" s="13" t="str">
        <f t="shared" si="9"/>
        <v>vis</v>
      </c>
      <c r="E62" s="51">
        <f>VLOOKUP(C62,Active!C$21:E$973,3,FALSE)</f>
        <v>3318.9467677316425</v>
      </c>
      <c r="F62" s="3" t="s">
        <v>60</v>
      </c>
      <c r="G62" s="13" t="str">
        <f t="shared" si="10"/>
        <v>42460.364</v>
      </c>
      <c r="H62" s="10">
        <f t="shared" si="11"/>
        <v>3319</v>
      </c>
      <c r="I62" s="52" t="s">
        <v>226</v>
      </c>
      <c r="J62" s="53" t="s">
        <v>227</v>
      </c>
      <c r="K62" s="52">
        <v>3319</v>
      </c>
      <c r="L62" s="52" t="s">
        <v>228</v>
      </c>
      <c r="M62" s="53" t="s">
        <v>94</v>
      </c>
      <c r="N62" s="53"/>
      <c r="O62" s="54" t="s">
        <v>202</v>
      </c>
      <c r="P62" s="54" t="s">
        <v>203</v>
      </c>
    </row>
    <row r="63" spans="1:16" ht="12.75" customHeight="1" thickBot="1" x14ac:dyDescent="0.25">
      <c r="A63" s="10" t="str">
        <f t="shared" si="6"/>
        <v> BBS 88 </v>
      </c>
      <c r="B63" s="3" t="str">
        <f t="shared" si="7"/>
        <v>I</v>
      </c>
      <c r="C63" s="10">
        <f t="shared" si="8"/>
        <v>47169.4</v>
      </c>
      <c r="D63" s="13" t="str">
        <f t="shared" si="9"/>
        <v>vis</v>
      </c>
      <c r="E63" s="51">
        <f>VLOOKUP(C63,Active!C$21:E$973,3,FALSE)</f>
        <v>4223.9474620905967</v>
      </c>
      <c r="F63" s="3" t="s">
        <v>60</v>
      </c>
      <c r="G63" s="13" t="str">
        <f t="shared" si="10"/>
        <v>47169.40</v>
      </c>
      <c r="H63" s="10">
        <f t="shared" si="11"/>
        <v>4224</v>
      </c>
      <c r="I63" s="52" t="s">
        <v>229</v>
      </c>
      <c r="J63" s="53" t="s">
        <v>230</v>
      </c>
      <c r="K63" s="52">
        <v>4224</v>
      </c>
      <c r="L63" s="52" t="s">
        <v>231</v>
      </c>
      <c r="M63" s="53" t="s">
        <v>66</v>
      </c>
      <c r="N63" s="53"/>
      <c r="O63" s="54" t="s">
        <v>232</v>
      </c>
      <c r="P63" s="54" t="s">
        <v>233</v>
      </c>
    </row>
    <row r="64" spans="1:16" ht="12.75" customHeight="1" thickBot="1" x14ac:dyDescent="0.25">
      <c r="A64" s="10" t="str">
        <f t="shared" si="6"/>
        <v>BAVM 157 </v>
      </c>
      <c r="B64" s="3" t="str">
        <f t="shared" si="7"/>
        <v>I</v>
      </c>
      <c r="C64" s="10">
        <f t="shared" si="8"/>
        <v>52648.43</v>
      </c>
      <c r="D64" s="13" t="str">
        <f t="shared" si="9"/>
        <v>vis</v>
      </c>
      <c r="E64" s="51">
        <f>VLOOKUP(C64,Active!C$21:E$973,3,FALSE)</f>
        <v>5276.9285721125925</v>
      </c>
      <c r="F64" s="3" t="s">
        <v>60</v>
      </c>
      <c r="G64" s="13" t="str">
        <f t="shared" si="10"/>
        <v>52648.43</v>
      </c>
      <c r="H64" s="10">
        <f t="shared" si="11"/>
        <v>5277</v>
      </c>
      <c r="I64" s="52" t="s">
        <v>234</v>
      </c>
      <c r="J64" s="53" t="s">
        <v>235</v>
      </c>
      <c r="K64" s="52">
        <v>5277</v>
      </c>
      <c r="L64" s="52" t="s">
        <v>236</v>
      </c>
      <c r="M64" s="53" t="s">
        <v>66</v>
      </c>
      <c r="N64" s="53"/>
      <c r="O64" s="54" t="s">
        <v>237</v>
      </c>
      <c r="P64" s="55" t="s">
        <v>238</v>
      </c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</sheetData>
  <phoneticPr fontId="7" type="noConversion"/>
  <hyperlinks>
    <hyperlink ref="P64" r:id="rId1" display="http://www.bav-astro.de/sfs/BAVM_link.php?BAVMnr=157"/>
    <hyperlink ref="P11" r:id="rId2" display="http://var.astro.cz/oejv/issues/oejv0028.pdf"/>
    <hyperlink ref="P12" r:id="rId3" display="http://www.bav-astro.de/sfs/BAVM_link.php?BAVMnr=201"/>
    <hyperlink ref="P13" r:id="rId4" display="http://www.konkoly.hu/cgi-bin/IBVS?6007"/>
    <hyperlink ref="P14" r:id="rId5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2024-03-01T05:44:59Z</dcterms:modified>
</cp:coreProperties>
</file>