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C433C30-2D5F-479A-ADDC-4932772681A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J24" i="1"/>
  <c r="F11" i="1"/>
  <c r="Q24" i="1"/>
  <c r="E22" i="1"/>
  <c r="F22" i="1"/>
  <c r="G22" i="1"/>
  <c r="I22" i="1"/>
  <c r="E23" i="1"/>
  <c r="F23" i="1"/>
  <c r="G23" i="1"/>
  <c r="J23" i="1"/>
  <c r="E21" i="1"/>
  <c r="F21" i="1"/>
  <c r="G21" i="1"/>
  <c r="Q22" i="1"/>
  <c r="Q23" i="1"/>
  <c r="G11" i="1"/>
  <c r="E14" i="1"/>
  <c r="E15" i="1" s="1"/>
  <c r="C17" i="1"/>
  <c r="Q21" i="1"/>
  <c r="H21" i="1"/>
  <c r="C12" i="1"/>
  <c r="C16" i="1" l="1"/>
  <c r="D18" i="1" s="1"/>
  <c r="C11" i="1"/>
  <c r="O24" i="1" l="1"/>
  <c r="O23" i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<sst xmlns="http://schemas.openxmlformats.org/spreadsheetml/2006/main" count="56" uniqueCount="52">
  <si>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</si>
  <si>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</si>
  <si>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</si>
  <si>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</si>
  <si>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</si>
  <si>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</si>
  <si>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</si>
  <si>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</si>
  <si>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</si>
  <si>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</si>
  <si>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</si>
  <si>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</si>
  <si>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</si>
  <si>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</si>
  <si>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</si>
  <si>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</si>
  <si>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</si>
  <si>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</si>
  <si>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</si>
  <si>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</si>
  <si>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</si>
  <si>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</si>
  <si>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</si>
  <si>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</si>
  <si>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</si>
  <si>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</si>
  <si>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</si>
  <si>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</si>
  <si>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</si>
  <si>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</si>
  <si>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</si>
  <si>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</si>
  <si>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</si>
  <si>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</si>
  <si>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</si>
  <si>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</si>
  <si>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</si>
  <si>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</si>
  <si>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</si>
  <si>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</si>
  <si>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del Ori</t>
  </si>
  <si>
    <t>del Ori / GSC 4766-2445</t>
  </si>
  <si>
    <t>G4766-2445</t>
  </si>
  <si>
    <t>EA/DM</t>
  </si>
  <si>
    <t>Kreiner</t>
  </si>
  <si>
    <t>IBVS 6007</t>
  </si>
  <si>
    <t>I</t>
  </si>
  <si>
    <t>J.M. Kreiner, 2004, Acta Astronomica, vol. 54, pp 207-210.</t>
  </si>
  <si>
    <t>IBVS 6114</t>
  </si>
  <si>
    <t>II</t>
  </si>
  <si>
    <t>PE?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</si>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</sst>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Delta Ori-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2.8500000000000001E-3</c:v>
                  </c:pt>
                  <c:pt idx="3">
                    <c:v>5.2700000000000004E-3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2.8500000000000001E-3</c:v>
                  </c:pt>
                  <c:pt idx="3">
                    <c:v>5.2700000000000004E-3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-1506</c:v>
                </c:pt>
                <c:pt idx="1">
                  <c:v>0</c:v>
                </c:pt>
                <c:pt idx="2">
                  <c:v>536</c:v>
                </c:pt>
                <c:pt idx="3">
                  <c:v>572.5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-1.4290800005255733E-2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26-4D46-8C9B-6686BD91E2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2.8500000000000001E-3</c:v>
                  </c:pt>
                  <c:pt idx="3">
                    <c:v>5.2700000000000004E-3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2.8500000000000001E-3</c:v>
                  </c:pt>
                  <c:pt idx="3">
                    <c:v>5.2700000000000004E-3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-1506</c:v>
                </c:pt>
                <c:pt idx="1">
                  <c:v>0</c:v>
                </c:pt>
                <c:pt idx="2">
                  <c:v>536</c:v>
                </c:pt>
                <c:pt idx="3">
                  <c:v>572.5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26-4D46-8C9B-6686BD91E2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2.8500000000000001E-3</c:v>
                  </c:pt>
                  <c:pt idx="3">
                    <c:v>5.2700000000000004E-3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2.8500000000000001E-3</c:v>
                  </c:pt>
                  <c:pt idx="3">
                    <c:v>5.2700000000000004E-3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-1506</c:v>
                </c:pt>
                <c:pt idx="1">
                  <c:v>0</c:v>
                </c:pt>
                <c:pt idx="2">
                  <c:v>536</c:v>
                </c:pt>
                <c:pt idx="3">
                  <c:v>572.5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9.2884800003957935E-2</c:v>
                </c:pt>
                <c:pt idx="3">
                  <c:v>-0.17517450000013923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26-4D46-8C9B-6686BD91E2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2.8500000000000001E-3</c:v>
                  </c:pt>
                  <c:pt idx="3">
                    <c:v>5.2700000000000004E-3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2.8500000000000001E-3</c:v>
                  </c:pt>
                  <c:pt idx="3">
                    <c:v>5.2700000000000004E-3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-1506</c:v>
                </c:pt>
                <c:pt idx="1">
                  <c:v>0</c:v>
                </c:pt>
                <c:pt idx="2">
                  <c:v>536</c:v>
                </c:pt>
                <c:pt idx="3">
                  <c:v>572.5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26-4D46-8C9B-6686BD91E2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2.8500000000000001E-3</c:v>
                  </c:pt>
                  <c:pt idx="3">
                    <c:v>5.2700000000000004E-3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2.8500000000000001E-3</c:v>
                  </c:pt>
                  <c:pt idx="3">
                    <c:v>5.2700000000000004E-3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-1506</c:v>
                </c:pt>
                <c:pt idx="1">
                  <c:v>0</c:v>
                </c:pt>
                <c:pt idx="2">
                  <c:v>536</c:v>
                </c:pt>
                <c:pt idx="3">
                  <c:v>572.5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26-4D46-8C9B-6686BD91E2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2.8500000000000001E-3</c:v>
                  </c:pt>
                  <c:pt idx="3">
                    <c:v>5.2700000000000004E-3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2.8500000000000001E-3</c:v>
                  </c:pt>
                  <c:pt idx="3">
                    <c:v>5.2700000000000004E-3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-1506</c:v>
                </c:pt>
                <c:pt idx="1">
                  <c:v>0</c:v>
                </c:pt>
                <c:pt idx="2">
                  <c:v>536</c:v>
                </c:pt>
                <c:pt idx="3">
                  <c:v>572.5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26-4D46-8C9B-6686BD91E2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2.8500000000000001E-3</c:v>
                  </c:pt>
                  <c:pt idx="3">
                    <c:v>5.2700000000000004E-3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2.8500000000000001E-3</c:v>
                  </c:pt>
                  <c:pt idx="3">
                    <c:v>5.2700000000000004E-3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-1506</c:v>
                </c:pt>
                <c:pt idx="1">
                  <c:v>0</c:v>
                </c:pt>
                <c:pt idx="2">
                  <c:v>536</c:v>
                </c:pt>
                <c:pt idx="3">
                  <c:v>572.5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26-4D46-8C9B-6686BD91E2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-1506</c:v>
                </c:pt>
                <c:pt idx="1">
                  <c:v>0</c:v>
                </c:pt>
                <c:pt idx="2">
                  <c:v>536</c:v>
                </c:pt>
                <c:pt idx="3">
                  <c:v>572.5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-5.0624575722737798E-3</c:v>
                </c:pt>
                <c:pt idx="1">
                  <c:v>-2.5493273992212802E-2</c:v>
                </c:pt>
                <c:pt idx="2">
                  <c:v>-3.2764799623744886E-2</c:v>
                </c:pt>
                <c:pt idx="3">
                  <c:v>-3.3259968813205559E-2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26-4D46-8C9B-6686BD91E2D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-1506</c:v>
                </c:pt>
                <c:pt idx="1">
                  <c:v>0</c:v>
                </c:pt>
                <c:pt idx="2">
                  <c:v>536</c:v>
                </c:pt>
                <c:pt idx="3">
                  <c:v>572.5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D26-4D46-8C9B-6686BD91E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194824"/>
        <c:axId val="1"/>
      </c:scatterChart>
      <c:valAx>
        <c:axId val="654194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194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74436090225564"/>
          <c:y val="0.92375366568914952"/>
          <c:w val="0.7789473684210526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C740129-8605-6DEC-E6AE-EF6446E20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s="3" t="s">
        <v>40</v>
      </c>
      <c r="F1" t="s">
        <v>42</v>
      </c>
    </row>
    <row r="2" spans="1:7" s="6" customFormat="1" ht="12.95" customHeight="1" x14ac:dyDescent="0.2">
      <c r="A2" s="6" t="s">
        <v>23</v>
      </c>
      <c r="B2" s="6" t="s">
        <v>43</v>
      </c>
      <c r="C2" s="7"/>
      <c r="D2" s="7"/>
      <c r="E2" s="6">
        <v>0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>
        <v>43872.589</v>
      </c>
      <c r="D4" s="10">
        <v>5.7324760000000001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  <c r="D6" s="11" t="s">
        <v>47</v>
      </c>
    </row>
    <row r="7" spans="1:7" s="6" customFormat="1" ht="12.95" customHeight="1" x14ac:dyDescent="0.2">
      <c r="A7" s="6" t="s">
        <v>2</v>
      </c>
      <c r="C7" s="6">
        <v>52505.700400000002</v>
      </c>
      <c r="D7" s="12" t="s">
        <v>44</v>
      </c>
    </row>
    <row r="8" spans="1:7" s="6" customFormat="1" ht="12.95" customHeight="1" x14ac:dyDescent="0.2">
      <c r="A8" s="6" t="s">
        <v>3</v>
      </c>
      <c r="C8" s="6">
        <v>5.7324681999999996</v>
      </c>
      <c r="D8" s="12" t="s">
        <v>44</v>
      </c>
    </row>
    <row r="9" spans="1:7" s="6" customFormat="1" ht="12.95" customHeight="1" x14ac:dyDescent="0.2">
      <c r="A9" s="13" t="s">
        <v>28</v>
      </c>
      <c r="C9" s="14">
        <v>-9.5</v>
      </c>
      <c r="D9" s="6" t="s">
        <v>29</v>
      </c>
    </row>
    <row r="10" spans="1:7" s="6" customFormat="1" ht="12.95" customHeight="1" thickBot="1" x14ac:dyDescent="0.25">
      <c r="C10" s="15" t="s">
        <v>19</v>
      </c>
      <c r="D10" s="15" t="s">
        <v>20</v>
      </c>
    </row>
    <row r="11" spans="1:7" s="6" customFormat="1" ht="12.95" customHeight="1" x14ac:dyDescent="0.2">
      <c r="A11" s="6" t="s">
        <v>15</v>
      </c>
      <c r="C11" s="16">
        <f ca="1">INTERCEPT(INDIRECT($G$11):G992,INDIRECT($F$11):F992)</f>
        <v>-2.5493273992212802E-2</v>
      </c>
      <c r="D11" s="7"/>
      <c r="F11" s="17" t="str">
        <f>"F"&amp;E19</f>
        <v>F21</v>
      </c>
      <c r="G11" s="16" t="str">
        <f>"G"&amp;E19</f>
        <v>G21</v>
      </c>
    </row>
    <row r="12" spans="1:7" s="6" customFormat="1" ht="12.95" customHeight="1" x14ac:dyDescent="0.2">
      <c r="A12" s="6" t="s">
        <v>16</v>
      </c>
      <c r="C12" s="16">
        <f ca="1">SLOPE(INDIRECT($G$11):G992,INDIRECT($F$11):F992)</f>
        <v>-1.3566279163306123E-5</v>
      </c>
      <c r="D12" s="7"/>
    </row>
    <row r="13" spans="1:7" s="6" customFormat="1" ht="12.95" customHeight="1" x14ac:dyDescent="0.2">
      <c r="A13" s="6" t="s">
        <v>18</v>
      </c>
      <c r="C13" s="7" t="s">
        <v>13</v>
      </c>
      <c r="D13" s="12" t="s">
        <v>37</v>
      </c>
      <c r="E13" s="14">
        <v>1</v>
      </c>
    </row>
    <row r="14" spans="1:7" s="6" customFormat="1" ht="12.95" customHeight="1" x14ac:dyDescent="0.2">
      <c r="D14" s="12" t="s">
        <v>30</v>
      </c>
      <c r="E14" s="18">
        <f ca="1">NOW()+15018.5+$C$9/24</f>
        <v>60368.78239930555</v>
      </c>
    </row>
    <row r="15" spans="1:7" s="6" customFormat="1" ht="12.95" customHeight="1" x14ac:dyDescent="0.2">
      <c r="A15" s="19" t="s">
        <v>17</v>
      </c>
      <c r="C15" s="20">
        <f ca="1">(C7+C11)+(C8+C12)*INT(MAX(F21:F3533))</f>
        <v>55784.638957214331</v>
      </c>
      <c r="D15" s="12" t="s">
        <v>38</v>
      </c>
      <c r="E15" s="18">
        <f ca="1">ROUND(2*(E14-$C$7)/$C$8,0)/2+E13</f>
        <v>1372.5</v>
      </c>
    </row>
    <row r="16" spans="1:7" s="6" customFormat="1" ht="12.95" customHeight="1" x14ac:dyDescent="0.2">
      <c r="A16" s="8" t="s">
        <v>4</v>
      </c>
      <c r="C16" s="21">
        <f ca="1">+C8+C12</f>
        <v>5.7324546337208364</v>
      </c>
      <c r="D16" s="12" t="s">
        <v>31</v>
      </c>
      <c r="E16" s="16">
        <f ca="1">ROUND(2*(E14-$C$15)/$C$16,0)/2+E13</f>
        <v>800.5</v>
      </c>
    </row>
    <row r="17" spans="1:18" s="6" customFormat="1" ht="12.95" customHeight="1" thickBot="1" x14ac:dyDescent="0.25">
      <c r="A17" s="12" t="s">
        <v>27</v>
      </c>
      <c r="C17" s="6">
        <f>COUNT(C21:C2191)</f>
        <v>4</v>
      </c>
      <c r="D17" s="12" t="s">
        <v>32</v>
      </c>
      <c r="E17" s="22">
        <f ca="1">+$C$15+$C$16*E16-15018.5-$C$9/24</f>
        <v>45355.364724841194</v>
      </c>
    </row>
    <row r="18" spans="1:18" s="6" customFormat="1" ht="12.95" customHeight="1" thickTop="1" thickBot="1" x14ac:dyDescent="0.25">
      <c r="A18" s="8" t="s">
        <v>5</v>
      </c>
      <c r="C18" s="23">
        <f ca="1">+C15</f>
        <v>55784.638957214331</v>
      </c>
      <c r="D18" s="24">
        <f ca="1">+C16</f>
        <v>5.7324546337208364</v>
      </c>
      <c r="E18" s="25" t="s">
        <v>33</v>
      </c>
    </row>
    <row r="19" spans="1:18" s="6" customFormat="1" ht="12.95" customHeight="1" thickTop="1" x14ac:dyDescent="0.2">
      <c r="A19" s="3" t="s">
        <v>34</v>
      </c>
      <c r="E19" s="26">
        <v>21</v>
      </c>
    </row>
    <row r="20" spans="1:18" s="6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7" t="s">
        <v>35</v>
      </c>
      <c r="I20" s="27" t="s">
        <v>44</v>
      </c>
      <c r="J20" s="27" t="s">
        <v>50</v>
      </c>
      <c r="K20" s="27" t="s">
        <v>51</v>
      </c>
      <c r="L20" s="27" t="s">
        <v>24</v>
      </c>
      <c r="M20" s="27" t="s">
        <v>25</v>
      </c>
      <c r="N20" s="27" t="s">
        <v>26</v>
      </c>
      <c r="O20" s="27" t="s">
        <v>22</v>
      </c>
      <c r="P20" s="28" t="s">
        <v>21</v>
      </c>
      <c r="Q20" s="15" t="s">
        <v>14</v>
      </c>
      <c r="R20" s="29" t="s">
        <v>36</v>
      </c>
    </row>
    <row r="21" spans="1:18" s="6" customFormat="1" ht="12.95" customHeight="1" x14ac:dyDescent="0.2">
      <c r="A21" s="12" t="s">
        <v>39</v>
      </c>
      <c r="C21" s="30">
        <v>43872.589</v>
      </c>
      <c r="D21" s="30" t="s">
        <v>13</v>
      </c>
      <c r="E21" s="6">
        <f>+(C21-C$7)/C$8</f>
        <v>-1506.0024929575713</v>
      </c>
      <c r="F21" s="6">
        <f>ROUND(2*E21,0)/2</f>
        <v>-1506</v>
      </c>
      <c r="G21" s="6">
        <f>+C21-(C$7+F21*C$8)</f>
        <v>-1.4290800005255733E-2</v>
      </c>
      <c r="H21" s="6">
        <f>+G21</f>
        <v>-1.4290800005255733E-2</v>
      </c>
      <c r="O21" s="6">
        <f ca="1">+C$11+C$12*$F21</f>
        <v>-5.0624575722737798E-3</v>
      </c>
      <c r="Q21" s="31">
        <f>+C21-15018.5</f>
        <v>28854.089</v>
      </c>
    </row>
    <row r="22" spans="1:18" s="6" customFormat="1" ht="12.95" customHeight="1" x14ac:dyDescent="0.2">
      <c r="A22" s="12" t="s">
        <v>44</v>
      </c>
      <c r="C22" s="30">
        <v>52505.700400000002</v>
      </c>
      <c r="E22" s="6">
        <f>+(C22-C$7)/C$8</f>
        <v>0</v>
      </c>
      <c r="F22" s="6">
        <f>ROUND(2*E22,0)/2</f>
        <v>0</v>
      </c>
      <c r="G22" s="6">
        <f>+C22-(C$7+F22*C$8)</f>
        <v>0</v>
      </c>
      <c r="I22" s="6">
        <f>+G22</f>
        <v>0</v>
      </c>
      <c r="O22" s="6">
        <f ca="1">+C$11+C$12*$F22</f>
        <v>-2.5493273992212802E-2</v>
      </c>
      <c r="Q22" s="31">
        <f>+C22-15018.5</f>
        <v>37487.200400000002</v>
      </c>
    </row>
    <row r="23" spans="1:18" s="6" customFormat="1" ht="12.95" customHeight="1" x14ac:dyDescent="0.2">
      <c r="A23" s="4" t="s">
        <v>45</v>
      </c>
      <c r="B23" s="5" t="s">
        <v>46</v>
      </c>
      <c r="C23" s="4">
        <v>55578.396240000002</v>
      </c>
      <c r="D23" s="4">
        <v>2.8500000000000001E-3</v>
      </c>
      <c r="E23" s="6">
        <f>+(C23-C$7)/C$8</f>
        <v>536.01620328220929</v>
      </c>
      <c r="F23" s="6">
        <f>ROUND(2*E23,0)/2</f>
        <v>536</v>
      </c>
      <c r="G23" s="6">
        <f>+C23-(C$7+F23*C$8)</f>
        <v>9.2884800003957935E-2</v>
      </c>
      <c r="J23" s="6">
        <f>+G23</f>
        <v>9.2884800003957935E-2</v>
      </c>
      <c r="O23" s="6">
        <f ca="1">+C$11+C$12*$F23</f>
        <v>-3.2764799623744886E-2</v>
      </c>
      <c r="Q23" s="31">
        <f>+C23-15018.5</f>
        <v>40559.896240000002</v>
      </c>
    </row>
    <row r="24" spans="1:18" s="6" customFormat="1" ht="12.95" customHeight="1" x14ac:dyDescent="0.2">
      <c r="A24" s="32" t="s">
        <v>48</v>
      </c>
      <c r="B24" s="33" t="s">
        <v>49</v>
      </c>
      <c r="C24" s="32">
        <v>55787.363270000002</v>
      </c>
      <c r="D24" s="32">
        <v>5.2700000000000004E-3</v>
      </c>
      <c r="E24" s="6">
        <f>+(C24-C$7)/C$8</f>
        <v>572.46944169703386</v>
      </c>
      <c r="F24" s="6">
        <f>ROUND(2*E24,0)/2</f>
        <v>572.5</v>
      </c>
      <c r="G24" s="6">
        <f>+C24-(C$7+F24*C$8)</f>
        <v>-0.17517450000013923</v>
      </c>
      <c r="J24" s="6">
        <f>+G24</f>
        <v>-0.17517450000013923</v>
      </c>
      <c r="O24" s="6">
        <f ca="1">+C$11+C$12*$F24</f>
        <v>-3.3259968813205559E-2</v>
      </c>
      <c r="Q24" s="31">
        <f>+C24-15018.5</f>
        <v>40768.863270000002</v>
      </c>
    </row>
    <row r="25" spans="1:18" s="6" customFormat="1" ht="12.95" customHeight="1" x14ac:dyDescent="0.2">
      <c r="C25" s="30"/>
      <c r="D25" s="30"/>
      <c r="Q25" s="31"/>
    </row>
    <row r="26" spans="1:18" s="6" customFormat="1" ht="12.95" customHeight="1" x14ac:dyDescent="0.2">
      <c r="C26" s="30"/>
      <c r="D26" s="30"/>
      <c r="Q26" s="31"/>
    </row>
    <row r="27" spans="1:18" s="6" customFormat="1" ht="12.95" customHeight="1" x14ac:dyDescent="0.2">
      <c r="C27" s="30"/>
      <c r="D27" s="30"/>
      <c r="Q27" s="31"/>
    </row>
    <row r="28" spans="1:18" s="6" customFormat="1" ht="12.95" customHeight="1" x14ac:dyDescent="0.2">
      <c r="C28" s="30"/>
      <c r="D28" s="30"/>
      <c r="Q28" s="31"/>
    </row>
    <row r="29" spans="1:18" s="6" customFormat="1" ht="12.95" customHeight="1" x14ac:dyDescent="0.2">
      <c r="C29" s="30"/>
      <c r="D29" s="30"/>
      <c r="Q29" s="31"/>
    </row>
    <row r="30" spans="1:18" s="6" customFormat="1" ht="12.95" customHeight="1" x14ac:dyDescent="0.2">
      <c r="C30" s="30"/>
      <c r="D30" s="30"/>
      <c r="Q30" s="31"/>
    </row>
    <row r="31" spans="1:18" s="6" customFormat="1" ht="12.95" customHeight="1" x14ac:dyDescent="0.2">
      <c r="C31" s="30"/>
      <c r="D31" s="30"/>
      <c r="Q31" s="31"/>
    </row>
    <row r="32" spans="1:18" s="6" customFormat="1" ht="12.95" customHeight="1" x14ac:dyDescent="0.2">
      <c r="C32" s="30"/>
      <c r="D32" s="30"/>
      <c r="Q32" s="31"/>
    </row>
    <row r="33" spans="3:17" s="6" customFormat="1" ht="12.95" customHeight="1" x14ac:dyDescent="0.2">
      <c r="C33" s="30"/>
      <c r="D33" s="30"/>
      <c r="Q33" s="31"/>
    </row>
    <row r="34" spans="3:17" s="6" customFormat="1" ht="12.95" customHeight="1" x14ac:dyDescent="0.2">
      <c r="C34" s="30"/>
      <c r="D34" s="30"/>
    </row>
    <row r="35" spans="3:17" s="6" customFormat="1" ht="12.95" customHeight="1" x14ac:dyDescent="0.2">
      <c r="C35" s="30"/>
      <c r="D35" s="30"/>
    </row>
    <row r="36" spans="3:17" s="6" customFormat="1" ht="12.95" customHeight="1" x14ac:dyDescent="0.2">
      <c r="C36" s="30"/>
      <c r="D36" s="30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2024-02-28T05:46:39Z</dcterms:modified>
</cp:coreProperties>
</file>