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CBFF6A-6595-4C06-8105-128620DC5D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0" i="1" l="1"/>
  <c r="D9" i="1"/>
  <c r="C9" i="1"/>
  <c r="E35" i="1"/>
  <c r="F35" i="1"/>
  <c r="E43" i="1"/>
  <c r="F43" i="1"/>
  <c r="E51" i="1"/>
  <c r="F51" i="1"/>
  <c r="Q59" i="1"/>
  <c r="E21" i="1"/>
  <c r="F21" i="1"/>
  <c r="E26" i="1"/>
  <c r="F26" i="1"/>
  <c r="E34" i="1"/>
  <c r="F3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49" i="1"/>
  <c r="Q52" i="1"/>
  <c r="Q53" i="1"/>
  <c r="G28" i="2"/>
  <c r="C28" i="2"/>
  <c r="G27" i="2"/>
  <c r="C27" i="2"/>
  <c r="G26" i="2"/>
  <c r="C26" i="2"/>
  <c r="G25" i="2"/>
  <c r="C25" i="2"/>
  <c r="G24" i="2"/>
  <c r="C24" i="2"/>
  <c r="G47" i="2"/>
  <c r="C47" i="2"/>
  <c r="G46" i="2"/>
  <c r="C46" i="2"/>
  <c r="G23" i="2"/>
  <c r="C23" i="2"/>
  <c r="E23" i="2"/>
  <c r="G22" i="2"/>
  <c r="C22" i="2"/>
  <c r="G45" i="2"/>
  <c r="C45" i="2"/>
  <c r="G21" i="2"/>
  <c r="C21" i="2"/>
  <c r="G20" i="2"/>
  <c r="C20" i="2"/>
  <c r="G19" i="2"/>
  <c r="C19" i="2"/>
  <c r="G18" i="2"/>
  <c r="C18" i="2"/>
  <c r="G17" i="2"/>
  <c r="C17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G44" i="2"/>
  <c r="C44" i="2"/>
  <c r="G43" i="2"/>
  <c r="C43" i="2"/>
  <c r="E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E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47" i="2"/>
  <c r="B47" i="2"/>
  <c r="D47" i="2"/>
  <c r="A47" i="2"/>
  <c r="H46" i="2"/>
  <c r="D46" i="2"/>
  <c r="B46" i="2"/>
  <c r="A46" i="2"/>
  <c r="H23" i="2"/>
  <c r="B23" i="2"/>
  <c r="D23" i="2"/>
  <c r="A23" i="2"/>
  <c r="H22" i="2"/>
  <c r="D22" i="2"/>
  <c r="B22" i="2"/>
  <c r="A22" i="2"/>
  <c r="H45" i="2"/>
  <c r="B45" i="2"/>
  <c r="D45" i="2"/>
  <c r="A45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Q57" i="1"/>
  <c r="Q58" i="1"/>
  <c r="Q54" i="1"/>
  <c r="Q55" i="1"/>
  <c r="Q56" i="1"/>
  <c r="F16" i="1"/>
  <c r="F17" i="1" s="1"/>
  <c r="C17" i="1"/>
  <c r="C7" i="1"/>
  <c r="E60" i="1"/>
  <c r="F60" i="1"/>
  <c r="C8" i="1"/>
  <c r="Q51" i="1"/>
  <c r="Q37" i="1"/>
  <c r="Q38" i="1"/>
  <c r="Q39" i="1"/>
  <c r="Q40" i="1"/>
  <c r="Q42" i="1"/>
  <c r="Q43" i="1"/>
  <c r="Q44" i="1"/>
  <c r="Q45" i="1"/>
  <c r="Q46" i="1"/>
  <c r="Q47" i="1"/>
  <c r="Q48" i="1"/>
  <c r="Q50" i="1"/>
  <c r="Q41" i="1"/>
  <c r="E13" i="2"/>
  <c r="E18" i="2"/>
  <c r="E38" i="2"/>
  <c r="E15" i="2"/>
  <c r="E39" i="2"/>
  <c r="E44" i="2"/>
  <c r="E22" i="2"/>
  <c r="E26" i="2"/>
  <c r="G31" i="1"/>
  <c r="H31" i="1"/>
  <c r="E29" i="1"/>
  <c r="F29" i="1"/>
  <c r="E54" i="1"/>
  <c r="F54" i="1"/>
  <c r="G48" i="1"/>
  <c r="K48" i="1"/>
  <c r="E46" i="1"/>
  <c r="F46" i="1"/>
  <c r="E38" i="1"/>
  <c r="F38" i="1"/>
  <c r="E31" i="1"/>
  <c r="F31" i="1"/>
  <c r="G25" i="1"/>
  <c r="H25" i="1"/>
  <c r="E23" i="1"/>
  <c r="F23" i="1"/>
  <c r="G23" i="1"/>
  <c r="H23" i="1"/>
  <c r="G58" i="1"/>
  <c r="K58" i="1"/>
  <c r="E56" i="1"/>
  <c r="F56" i="1"/>
  <c r="G56" i="1"/>
  <c r="K56" i="1"/>
  <c r="E48" i="1"/>
  <c r="F48" i="1"/>
  <c r="E40" i="1"/>
  <c r="F40" i="1"/>
  <c r="G40" i="1"/>
  <c r="I40" i="1"/>
  <c r="G30" i="1"/>
  <c r="H30" i="1"/>
  <c r="E28" i="1"/>
  <c r="F28" i="1"/>
  <c r="G28" i="1"/>
  <c r="H28" i="1"/>
  <c r="G22" i="1"/>
  <c r="H22" i="1"/>
  <c r="E53" i="1"/>
  <c r="F53" i="1"/>
  <c r="G53" i="1"/>
  <c r="I53" i="1"/>
  <c r="E45" i="1"/>
  <c r="F45" i="1"/>
  <c r="G45" i="1"/>
  <c r="J45" i="1"/>
  <c r="G39" i="1"/>
  <c r="I39" i="1"/>
  <c r="E37" i="1"/>
  <c r="F37" i="1"/>
  <c r="G37" i="1"/>
  <c r="I37" i="1"/>
  <c r="E33" i="1"/>
  <c r="F33" i="1"/>
  <c r="G33" i="1"/>
  <c r="H33" i="1"/>
  <c r="G27" i="1"/>
  <c r="H27" i="1"/>
  <c r="E25" i="1"/>
  <c r="F25" i="1"/>
  <c r="E58" i="1"/>
  <c r="F58" i="1"/>
  <c r="E50" i="1"/>
  <c r="F50" i="1"/>
  <c r="G50" i="1"/>
  <c r="I50" i="1"/>
  <c r="G44" i="1"/>
  <c r="I44" i="1"/>
  <c r="E42" i="1"/>
  <c r="F42" i="1"/>
  <c r="G42" i="1"/>
  <c r="I42" i="1"/>
  <c r="G36" i="1"/>
  <c r="H36" i="1"/>
  <c r="G32" i="1"/>
  <c r="H32" i="1"/>
  <c r="E30" i="1"/>
  <c r="F30" i="1"/>
  <c r="E22" i="1"/>
  <c r="F22" i="1"/>
  <c r="G57" i="1"/>
  <c r="J57" i="1"/>
  <c r="E55" i="1"/>
  <c r="F55" i="1"/>
  <c r="G55" i="1"/>
  <c r="K55" i="1"/>
  <c r="G49" i="1"/>
  <c r="K49" i="1"/>
  <c r="E47" i="1"/>
  <c r="F47" i="1"/>
  <c r="G47" i="1"/>
  <c r="I47" i="1"/>
  <c r="G41" i="1"/>
  <c r="I41" i="1"/>
  <c r="E39" i="1"/>
  <c r="F39" i="1"/>
  <c r="G60" i="1"/>
  <c r="K60" i="1"/>
  <c r="G29" i="1"/>
  <c r="H29" i="1"/>
  <c r="E27" i="1"/>
  <c r="F27" i="1"/>
  <c r="G54" i="1"/>
  <c r="K54" i="1"/>
  <c r="E52" i="1"/>
  <c r="F52" i="1"/>
  <c r="G52" i="1"/>
  <c r="I52" i="1"/>
  <c r="G46" i="1"/>
  <c r="I46" i="1"/>
  <c r="E44" i="1"/>
  <c r="F44" i="1"/>
  <c r="G38" i="1"/>
  <c r="I38" i="1"/>
  <c r="E36" i="1"/>
  <c r="F36" i="1"/>
  <c r="G34" i="1"/>
  <c r="H34" i="1"/>
  <c r="E32" i="1"/>
  <c r="F32" i="1"/>
  <c r="G26" i="1"/>
  <c r="H26" i="1"/>
  <c r="E24" i="1"/>
  <c r="F24" i="1"/>
  <c r="U24" i="1"/>
  <c r="G21" i="1"/>
  <c r="H21" i="1"/>
  <c r="E57" i="1"/>
  <c r="F57" i="1"/>
  <c r="G51" i="1"/>
  <c r="J51" i="1"/>
  <c r="E49" i="1"/>
  <c r="F49" i="1"/>
  <c r="G43" i="1"/>
  <c r="I43" i="1"/>
  <c r="E41" i="1"/>
  <c r="F41" i="1"/>
  <c r="G35" i="1"/>
  <c r="E59" i="1"/>
  <c r="F59" i="1"/>
  <c r="G59" i="1"/>
  <c r="K59" i="1"/>
  <c r="E17" i="2"/>
  <c r="E14" i="2"/>
  <c r="E33" i="2"/>
  <c r="E36" i="2"/>
  <c r="E40" i="2"/>
  <c r="E32" i="2"/>
  <c r="E46" i="2"/>
  <c r="E31" i="2"/>
  <c r="E35" i="2"/>
  <c r="E45" i="2"/>
  <c r="E27" i="2"/>
  <c r="E11" i="2"/>
  <c r="E19" i="2"/>
  <c r="E20" i="2"/>
  <c r="E12" i="2"/>
  <c r="E25" i="2"/>
  <c r="E47" i="2"/>
  <c r="E37" i="2"/>
  <c r="E41" i="2"/>
  <c r="H35" i="1"/>
  <c r="E24" i="2"/>
  <c r="E21" i="2"/>
  <c r="E28" i="2"/>
  <c r="E30" i="2"/>
  <c r="C11" i="1"/>
  <c r="C12" i="1"/>
  <c r="C16" i="1" l="1"/>
  <c r="D18" i="1" s="1"/>
  <c r="O43" i="1"/>
  <c r="O58" i="1"/>
  <c r="O44" i="1"/>
  <c r="O36" i="1"/>
  <c r="O42" i="1"/>
  <c r="O48" i="1"/>
  <c r="O50" i="1"/>
  <c r="O51" i="1"/>
  <c r="O55" i="1"/>
  <c r="O40" i="1"/>
  <c r="O52" i="1"/>
  <c r="O34" i="1"/>
  <c r="O27" i="1"/>
  <c r="O39" i="1"/>
  <c r="O60" i="1"/>
  <c r="O46" i="1"/>
  <c r="O22" i="1"/>
  <c r="O25" i="1"/>
  <c r="O33" i="1"/>
  <c r="O56" i="1"/>
  <c r="O21" i="1"/>
  <c r="O54" i="1"/>
  <c r="O59" i="1"/>
  <c r="O41" i="1"/>
  <c r="O47" i="1"/>
  <c r="O30" i="1"/>
  <c r="O45" i="1"/>
  <c r="O53" i="1"/>
  <c r="O28" i="1"/>
  <c r="O24" i="1"/>
  <c r="C15" i="1"/>
  <c r="O31" i="1"/>
  <c r="O23" i="1"/>
  <c r="O38" i="1"/>
  <c r="O32" i="1"/>
  <c r="O26" i="1"/>
  <c r="O29" i="1"/>
  <c r="O57" i="1"/>
  <c r="O49" i="1"/>
  <c r="O35" i="1"/>
  <c r="O37" i="1"/>
  <c r="C18" i="1" l="1"/>
  <c r="F18" i="1"/>
  <c r="F19" i="1" s="1"/>
</calcChain>
</file>

<file path=xl/sharedStrings.xml><?xml version="1.0" encoding="utf-8"?>
<sst xmlns="http://schemas.openxmlformats.org/spreadsheetml/2006/main" count="425" uniqueCount="249">
  <si>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</si>
  <si>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</si>
  <si>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</si>
  <si>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</si>
  <si>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</si>
  <si>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</si>
  <si>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</si>
  <si>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</si>
  <si>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</si>
  <si>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</si>
  <si>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</si>
  <si>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</si>
  <si>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</si>
  <si>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</si>
  <si>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</si>
  <si>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</si>
  <si>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</si>
  <si>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</si>
  <si>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</si>
  <si>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</si>
  <si>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</si>
  <si>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</si>
  <si>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</si>
  <si>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</si>
  <si>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</si>
  <si>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</si>
  <si>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</si>
  <si>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</si>
  <si>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</si>
  <si>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</si>
  <si>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Bull.10</t>
  </si>
  <si>
    <t>B</t>
  </si>
  <si>
    <t>phe</t>
  </si>
  <si>
    <t>AS SP SCI 189,309</t>
  </si>
  <si>
    <t>K</t>
  </si>
  <si>
    <t>v</t>
  </si>
  <si>
    <t>BBSAG Bull.17</t>
  </si>
  <si>
    <t>BAAVSS 58,11</t>
  </si>
  <si>
    <t>BBSAG Bull.38</t>
  </si>
  <si>
    <t>BAAVSS 59,16</t>
  </si>
  <si>
    <t>AP SP SCI 189,309</t>
  </si>
  <si>
    <t>BAV-M 52</t>
  </si>
  <si>
    <t>BAV-M 46</t>
  </si>
  <si>
    <t>BAV-M 59</t>
  </si>
  <si>
    <t>IBVS 4606</t>
  </si>
  <si>
    <t># of data points:</t>
  </si>
  <si>
    <t>EA/DS</t>
  </si>
  <si>
    <t xml:space="preserve">AW Peg /  GSC 02202-00996 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</si>
  <si>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</si>
  <si>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</si>
  <si>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</si>
  <si>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</si>
  <si>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</si>
  <si>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</si>
  <si>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</si>
  <si>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</si>
  <si>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6007</t>
  </si>
  <si>
    <t>I</t>
  </si>
  <si>
    <t>IBVS 6114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</si>
  <si>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</si>
  <si>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</si>
  <si>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</si>
  <si>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</si>
  <si>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</si>
  <si>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</si>
  <si>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</si>
  <si>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</si>
  <si>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</si>
  <si>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</si>
  <si>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</si>
  <si>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</si>
  <si>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</si>
  <si>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2425502.447 </t>
  </si>
  <si>
    <t> 12.09.1928 22:43 </t>
  </si>
  <si>
    <t> 0.034 </t>
  </si>
  <si>
    <t>P </t>
  </si>
  <si>
    <t> L.Plaut </t>
  </si>
  <si>
    <t> AN 244.300 </t>
  </si>
  <si>
    <t>2425566.282 </t>
  </si>
  <si>
    <t> 15.11.1928 18:46 </t>
  </si>
  <si>
    <t> 0.133 </t>
  </si>
  <si>
    <t>2426352.215 </t>
  </si>
  <si>
    <t> 10.01.1931 17:09 </t>
  </si>
  <si>
    <t> -0.005 </t>
  </si>
  <si>
    <t>2426486.472 </t>
  </si>
  <si>
    <t> 24.05.1931 23:19 </t>
  </si>
  <si>
    <t> 1.469 </t>
  </si>
  <si>
    <t>V </t>
  </si>
  <si>
    <t> S.Szczyrbak </t>
  </si>
  <si>
    <t> AA 27.158 </t>
  </si>
  <si>
    <t>2426543.480 </t>
  </si>
  <si>
    <t> 20.07.1931 23:31 </t>
  </si>
  <si>
    <t> 0.053 </t>
  </si>
  <si>
    <t>? </t>
  </si>
  <si>
    <t> L.Jacchia </t>
  </si>
  <si>
    <t> BZ 13.55 </t>
  </si>
  <si>
    <t>2427690.700 </t>
  </si>
  <si>
    <t> 10.09.1934 04:48 </t>
  </si>
  <si>
    <t> 0.033 </t>
  </si>
  <si>
    <t>2428423.602 </t>
  </si>
  <si>
    <t> 12.09.1936 02:26 </t>
  </si>
  <si>
    <t> -0.023 </t>
  </si>
  <si>
    <t> S.Gaposchkin </t>
  </si>
  <si>
    <t> HA 113.75 </t>
  </si>
  <si>
    <t>2434988.44 </t>
  </si>
  <si>
    <t> 02.09.1954 22:33 </t>
  </si>
  <si>
    <t> 0.05 </t>
  </si>
  <si>
    <t> R.Szafraniec </t>
  </si>
  <si>
    <t> AAC 5.194 </t>
  </si>
  <si>
    <t>2435721.436 </t>
  </si>
  <si>
    <t> 04.09.1956 22:27 </t>
  </si>
  <si>
    <t> 0.091 </t>
  </si>
  <si>
    <t> H.Huth </t>
  </si>
  <si>
    <t> MVS 3.170 </t>
  </si>
  <si>
    <t>2436762.26 </t>
  </si>
  <si>
    <t> 12.07.1959 18:14 </t>
  </si>
  <si>
    <t> -0.10 </t>
  </si>
  <si>
    <t> AA 10.70 </t>
  </si>
  <si>
    <t>2436783.5617 </t>
  </si>
  <si>
    <t> 03.08.1959 01:28 </t>
  </si>
  <si>
    <t> -0.0418 </t>
  </si>
  <si>
    <t>E </t>
  </si>
  <si>
    <t>?</t>
  </si>
  <si>
    <t> A.Fresa </t>
  </si>
  <si>
    <t> MSAI 37.540 </t>
  </si>
  <si>
    <t>2436815.485 </t>
  </si>
  <si>
    <t> 03.09.1959 23:38 </t>
  </si>
  <si>
    <t> 0.014 </t>
  </si>
  <si>
    <t>2437112.9043 </t>
  </si>
  <si>
    <t> 27.06.1960 09:42 </t>
  </si>
  <si>
    <t> 0.0005 </t>
  </si>
  <si>
    <t> Hilton &amp; McNamara </t>
  </si>
  <si>
    <t> AJ 134.839 </t>
  </si>
  <si>
    <t>2437941.355 </t>
  </si>
  <si>
    <t> 03.10.1962 20:31 </t>
  </si>
  <si>
    <t> -0.111 </t>
  </si>
  <si>
    <t>2438398.224 </t>
  </si>
  <si>
    <t> 03.01.1964 17:22 </t>
  </si>
  <si>
    <t> -0.013 </t>
  </si>
  <si>
    <t>2438642.464 </t>
  </si>
  <si>
    <t> 03.09.1964 23:08 </t>
  </si>
  <si>
    <t> -0.093 </t>
  </si>
  <si>
    <t>2441850.556 </t>
  </si>
  <si>
    <t> 17.06.1973 01:20 </t>
  </si>
  <si>
    <t> K.Locher </t>
  </si>
  <si>
    <t> BBS 10 </t>
  </si>
  <si>
    <t>2441903.690 </t>
  </si>
  <si>
    <t> 09.08.1973 04:33 </t>
  </si>
  <si>
    <t> -0.002 </t>
  </si>
  <si>
    <t> T.Wesselink </t>
  </si>
  <si>
    <t>IBVS 1800 </t>
  </si>
  <si>
    <t>2442275.501 </t>
  </si>
  <si>
    <t> 16.08.1974 00:01 </t>
  </si>
  <si>
    <t> 0.018 </t>
  </si>
  <si>
    <t> BBS 17 </t>
  </si>
  <si>
    <t>2443401.515 </t>
  </si>
  <si>
    <t> 15.09.1977 00:21 </t>
  </si>
  <si>
    <t> 0.038 </t>
  </si>
  <si>
    <t> T.Brelstaff </t>
  </si>
  <si>
    <t> VSSC 58.18 </t>
  </si>
  <si>
    <t>2443741.426 </t>
  </si>
  <si>
    <t> 20.08.1978 22:13 </t>
  </si>
  <si>
    <t> 0.026 </t>
  </si>
  <si>
    <t>2443741.453 </t>
  </si>
  <si>
    <t> 20.08.1978 22:52 </t>
  </si>
  <si>
    <t> BBS 38 </t>
  </si>
  <si>
    <t>2444166.351 </t>
  </si>
  <si>
    <t> 19.10.1979 20:25 </t>
  </si>
  <si>
    <t> 0.047 </t>
  </si>
  <si>
    <t> VSSC 59.19 </t>
  </si>
  <si>
    <t>2444867.3985 </t>
  </si>
  <si>
    <t> 19.09.1981 21:33 </t>
  </si>
  <si>
    <t> 0.0040 </t>
  </si>
  <si>
    <t> Derman &amp; Demircan </t>
  </si>
  <si>
    <t> ASS 189.309 </t>
  </si>
  <si>
    <t>2446354.512 </t>
  </si>
  <si>
    <t> 16.10.1985 00:17 </t>
  </si>
  <si>
    <t> -0.045 </t>
  </si>
  <si>
    <t> J.Schmidt </t>
  </si>
  <si>
    <t>BAVM 52 </t>
  </si>
  <si>
    <t>2446694.455 </t>
  </si>
  <si>
    <t> 20.09.1986 22:55 </t>
  </si>
  <si>
    <t> -0.025 </t>
  </si>
  <si>
    <t> W.Quester </t>
  </si>
  <si>
    <t>BAVM 46 </t>
  </si>
  <si>
    <t>2447735.5005 </t>
  </si>
  <si>
    <t> 28.07.1989 00:00 </t>
  </si>
  <si>
    <t> 0.0067 </t>
  </si>
  <si>
    <t>2447735.5104 </t>
  </si>
  <si>
    <t> 28.07.1989 00:14 </t>
  </si>
  <si>
    <t> 0.0166 </t>
  </si>
  <si>
    <t> J.Ells </t>
  </si>
  <si>
    <t> VSSC 73 </t>
  </si>
  <si>
    <t>2448128.542 </t>
  </si>
  <si>
    <t> 25.08.1990 01:00 </t>
  </si>
  <si>
    <t> 0.012 </t>
  </si>
  <si>
    <t> W.Kriebel </t>
  </si>
  <si>
    <t>BAVM 59 </t>
  </si>
  <si>
    <t>2450720.4515 </t>
  </si>
  <si>
    <t> 28.09.1997 22:50 </t>
  </si>
  <si>
    <t> 0.0099 </t>
  </si>
  <si>
    <t>-I</t>
  </si>
  <si>
    <t> D.Husar </t>
  </si>
  <si>
    <t>BAVM 111 </t>
  </si>
  <si>
    <t>2452526.24 </t>
  </si>
  <si>
    <t> 08.09.2002 17:45 </t>
  </si>
  <si>
    <t>827</t>
  </si>
  <si>
    <t> -0.04 </t>
  </si>
  <si>
    <t> R.Meyer </t>
  </si>
  <si>
    <t>BAVM 157 </t>
  </si>
  <si>
    <t>2452855.59 </t>
  </si>
  <si>
    <t> 04.08.2003 02:09 </t>
  </si>
  <si>
    <t>858</t>
  </si>
  <si>
    <t> 0.01 </t>
  </si>
  <si>
    <t>BAVM 171 </t>
  </si>
  <si>
    <t>2454172.80122 </t>
  </si>
  <si>
    <t> 13.03.2007 07:13 </t>
  </si>
  <si>
    <t>982</t>
  </si>
  <si>
    <t> 0.01784 </t>
  </si>
  <si>
    <t>C </t>
  </si>
  <si>
    <t> P.Zasche </t>
  </si>
  <si>
    <t>IBVS 6007 </t>
  </si>
  <si>
    <t>2454364.00387 </t>
  </si>
  <si>
    <t> 20.09.2007 12:05 </t>
  </si>
  <si>
    <t>1000</t>
  </si>
  <si>
    <t> 0.01387 </t>
  </si>
  <si>
    <t>2455394.40088 </t>
  </si>
  <si>
    <t> 16.07.2010 21:37 </t>
  </si>
  <si>
    <t>1097</t>
  </si>
  <si>
    <t> 0.01965 </t>
  </si>
  <si>
    <t>R</t>
  </si>
  <si>
    <t> R.Uhlar </t>
  </si>
  <si>
    <t>2455479.3704 </t>
  </si>
  <si>
    <t> 09.10.2010 20:53 </t>
  </si>
  <si>
    <t>1105</t>
  </si>
  <si>
    <t> 0.0085 </t>
  </si>
  <si>
    <t>o</t>
  </si>
  <si>
    <t> U.Schmidt </t>
  </si>
  <si>
    <t>BAVM 215 </t>
  </si>
  <si>
    <t>2456148.59965 </t>
  </si>
  <si>
    <t> 09.08.2012 02:23 </t>
  </si>
  <si>
    <t>1168</t>
  </si>
  <si>
    <t> 0.01453 </t>
  </si>
  <si>
    <t>IBVS 6114 </t>
  </si>
  <si>
    <t>II</t>
  </si>
  <si>
    <t>BAD?</t>
  </si>
  <si>
    <t>Likely eccentric orbit</t>
  </si>
  <si>
    <t>Single secondary minimum has way different O-C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</si>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</sst>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3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Peg - O-C Diagr.</a:t>
            </a:r>
          </a:p>
        </c:rich>
      </c:tx>
      <c:layout>
        <c:manualLayout>
          <c:xMode val="edge"/>
          <c:yMode val="edge"/>
          <c:x val="0.378336279393647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4767261368646"/>
          <c:y val="0.14769252958613219"/>
          <c:w val="0.8147572964375371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3.402999999889289E-2</c:v>
                </c:pt>
                <c:pt idx="1">
                  <c:v>0.13349000000016531</c:v>
                </c:pt>
                <c:pt idx="2">
                  <c:v>-5.1700000003620517E-3</c:v>
                </c:pt>
                <c:pt idx="4">
                  <c:v>5.3209999998216517E-2</c:v>
                </c:pt>
                <c:pt idx="5">
                  <c:v>3.3489999997982522E-2</c:v>
                </c:pt>
                <c:pt idx="6">
                  <c:v>-2.3220000002766028E-2</c:v>
                </c:pt>
                <c:pt idx="7">
                  <c:v>5.415999999968335E-2</c:v>
                </c:pt>
                <c:pt idx="8">
                  <c:v>9.1449999999895226E-2</c:v>
                </c:pt>
                <c:pt idx="9">
                  <c:v>-9.8369999999704305E-2</c:v>
                </c:pt>
                <c:pt idx="10">
                  <c:v>-4.1850000001431908E-2</c:v>
                </c:pt>
                <c:pt idx="11">
                  <c:v>1.367999999638414E-2</c:v>
                </c:pt>
                <c:pt idx="12">
                  <c:v>4.600000029313378E-4</c:v>
                </c:pt>
                <c:pt idx="13">
                  <c:v>-0.11086000000068452</c:v>
                </c:pt>
                <c:pt idx="14">
                  <c:v>-1.322999999683816E-2</c:v>
                </c:pt>
                <c:pt idx="15">
                  <c:v>-9.2799999998533167E-2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5-4E88-852C-7969321748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6">
                  <c:v>-2.298000000155298E-2</c:v>
                </c:pt>
                <c:pt idx="17">
                  <c:v>-1.9299999985378236E-3</c:v>
                </c:pt>
                <c:pt idx="18">
                  <c:v>1.841999999305699E-2</c:v>
                </c:pt>
                <c:pt idx="19">
                  <c:v>3.7879999996221159E-2</c:v>
                </c:pt>
                <c:pt idx="20">
                  <c:v>0</c:v>
                </c:pt>
                <c:pt idx="21">
                  <c:v>2.599999999802094E-2</c:v>
                </c:pt>
                <c:pt idx="22">
                  <c:v>5.2999999999883585E-2</c:v>
                </c:pt>
                <c:pt idx="23">
                  <c:v>4.7400000003108289E-2</c:v>
                </c:pt>
                <c:pt idx="25">
                  <c:v>-4.514000000199303E-2</c:v>
                </c:pt>
                <c:pt idx="26">
                  <c:v>-2.5020000000949949E-2</c:v>
                </c:pt>
                <c:pt idx="29">
                  <c:v>1.2329999997746199E-2</c:v>
                </c:pt>
                <c:pt idx="31">
                  <c:v>-4.1930000006686896E-2</c:v>
                </c:pt>
                <c:pt idx="32">
                  <c:v>7.7799999926355667E-3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5-4E88-852C-7969321748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4">
                  <c:v>3.9600000018253922E-3</c:v>
                </c:pt>
                <c:pt idx="30">
                  <c:v>9.8700000016833656E-3</c:v>
                </c:pt>
                <c:pt idx="36">
                  <c:v>8.4499999938998371E-3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5-4E88-852C-7969321748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6.6599999991012737E-3</c:v>
                </c:pt>
                <c:pt idx="28">
                  <c:v>1.6559999996388797E-2</c:v>
                </c:pt>
                <c:pt idx="33">
                  <c:v>1.7840000000433065E-2</c:v>
                </c:pt>
                <c:pt idx="34">
                  <c:v>1.3869999995222315E-2</c:v>
                </c:pt>
                <c:pt idx="35">
                  <c:v>1.9650000002002344E-2</c:v>
                </c:pt>
                <c:pt idx="37">
                  <c:v>1.4529999993101228E-2</c:v>
                </c:pt>
                <c:pt idx="38">
                  <c:v>2.0400000001245644E-2</c:v>
                </c:pt>
                <c:pt idx="39">
                  <c:v>2.1969999994325917E-2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5-4E88-852C-7969321748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5-4E88-852C-7969321748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5-4E88-852C-7969321748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5-4E88-852C-7969321748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-2.7114476135081222E-2</c:v>
                </c:pt>
                <c:pt idx="1">
                  <c:v>-2.7025752881114834E-2</c:v>
                </c:pt>
                <c:pt idx="2">
                  <c:v>-2.5931499415529372E-2</c:v>
                </c:pt>
                <c:pt idx="3">
                  <c:v>-2.5746659303099398E-2</c:v>
                </c:pt>
                <c:pt idx="4">
                  <c:v>-2.5665329653630206E-2</c:v>
                </c:pt>
                <c:pt idx="5">
                  <c:v>-2.40683110822352E-2</c:v>
                </c:pt>
                <c:pt idx="6">
                  <c:v>-2.3047993661621732E-2</c:v>
                </c:pt>
                <c:pt idx="7">
                  <c:v>-1.3909498503083661E-2</c:v>
                </c:pt>
                <c:pt idx="8">
                  <c:v>-1.2889181082470188E-2</c:v>
                </c:pt>
                <c:pt idx="9">
                  <c:v>-1.1440034601019168E-2</c:v>
                </c:pt>
                <c:pt idx="10">
                  <c:v>-1.1410460183030371E-2</c:v>
                </c:pt>
                <c:pt idx="11">
                  <c:v>-1.1366098556047177E-2</c:v>
                </c:pt>
                <c:pt idx="12">
                  <c:v>-1.0952056704204028E-2</c:v>
                </c:pt>
                <c:pt idx="13">
                  <c:v>-9.7986544026409713E-3</c:v>
                </c:pt>
                <c:pt idx="14">
                  <c:v>-9.1628044158818499E-3</c:v>
                </c:pt>
                <c:pt idx="15">
                  <c:v>-8.8226986090106929E-3</c:v>
                </c:pt>
                <c:pt idx="16">
                  <c:v>-4.356961492702446E-3</c:v>
                </c:pt>
                <c:pt idx="17">
                  <c:v>-4.2830254477304545E-3</c:v>
                </c:pt>
                <c:pt idx="18">
                  <c:v>-3.7654731329265188E-3</c:v>
                </c:pt>
                <c:pt idx="19">
                  <c:v>-2.1980289795203133E-3</c:v>
                </c:pt>
                <c:pt idx="20">
                  <c:v>-1.7248382916995719E-3</c:v>
                </c:pt>
                <c:pt idx="21">
                  <c:v>-1.7248382916995719E-3</c:v>
                </c:pt>
                <c:pt idx="22">
                  <c:v>-1.7248382916995719E-3</c:v>
                </c:pt>
                <c:pt idx="23">
                  <c:v>-1.1333499319236451E-3</c:v>
                </c:pt>
                <c:pt idx="24">
                  <c:v>-1.5739413829336606E-4</c:v>
                </c:pt>
                <c:pt idx="25">
                  <c:v>1.9128151209223771E-3</c:v>
                </c:pt>
                <c:pt idx="26">
                  <c:v>2.3860058087431186E-3</c:v>
                </c:pt>
                <c:pt idx="27">
                  <c:v>3.8351522901941392E-3</c:v>
                </c:pt>
                <c:pt idx="28">
                  <c:v>3.8351522901941392E-3</c:v>
                </c:pt>
                <c:pt idx="29">
                  <c:v>4.3822790229868713E-3</c:v>
                </c:pt>
                <c:pt idx="30">
                  <c:v>7.9903580176200247E-3</c:v>
                </c:pt>
                <c:pt idx="31">
                  <c:v>1.0504183546667713E-2</c:v>
                </c:pt>
                <c:pt idx="32">
                  <c:v>1.0962587025494056E-2</c:v>
                </c:pt>
                <c:pt idx="33">
                  <c:v>1.2796200940799429E-2</c:v>
                </c:pt>
                <c:pt idx="34">
                  <c:v>1.3062370702698596E-2</c:v>
                </c:pt>
                <c:pt idx="35">
                  <c:v>1.4496729975155219E-2</c:v>
                </c:pt>
                <c:pt idx="36">
                  <c:v>1.4615027647110404E-2</c:v>
                </c:pt>
                <c:pt idx="37">
                  <c:v>1.5546621813757487E-2</c:v>
                </c:pt>
                <c:pt idx="38">
                  <c:v>1.7631618281967631E-2</c:v>
                </c:pt>
                <c:pt idx="39">
                  <c:v>1.8637148493586705E-2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5-4E88-852C-7969321748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1.4694550000021991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A5-4E88-852C-79693217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90480"/>
        <c:axId val="1"/>
      </c:scatterChart>
      <c:valAx>
        <c:axId val="80969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3139676221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82434063873884"/>
          <c:y val="0.92000129214617399"/>
          <c:w val="0.7551027000745785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Peg - O-C Diagr.</a:t>
            </a:r>
          </a:p>
        </c:rich>
      </c:tx>
      <c:layout>
        <c:manualLayout>
          <c:xMode val="edge"/>
          <c:yMode val="edge"/>
          <c:x val="0.37774294670846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664576802508"/>
          <c:y val="0.14723926380368099"/>
          <c:w val="0.8244514106583071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3.402999999889289E-2</c:v>
                </c:pt>
                <c:pt idx="1">
                  <c:v>0.13349000000016531</c:v>
                </c:pt>
                <c:pt idx="2">
                  <c:v>-5.1700000003620517E-3</c:v>
                </c:pt>
                <c:pt idx="4">
                  <c:v>5.3209999998216517E-2</c:v>
                </c:pt>
                <c:pt idx="5">
                  <c:v>3.3489999997982522E-2</c:v>
                </c:pt>
                <c:pt idx="6">
                  <c:v>-2.3220000002766028E-2</c:v>
                </c:pt>
                <c:pt idx="7">
                  <c:v>5.415999999968335E-2</c:v>
                </c:pt>
                <c:pt idx="8">
                  <c:v>9.1449999999895226E-2</c:v>
                </c:pt>
                <c:pt idx="9">
                  <c:v>-9.8369999999704305E-2</c:v>
                </c:pt>
                <c:pt idx="10">
                  <c:v>-4.1850000001431908E-2</c:v>
                </c:pt>
                <c:pt idx="11">
                  <c:v>1.367999999638414E-2</c:v>
                </c:pt>
                <c:pt idx="12">
                  <c:v>4.600000029313378E-4</c:v>
                </c:pt>
                <c:pt idx="13">
                  <c:v>-0.11086000000068452</c:v>
                </c:pt>
                <c:pt idx="14">
                  <c:v>-1.322999999683816E-2</c:v>
                </c:pt>
                <c:pt idx="15">
                  <c:v>-9.2799999998533167E-2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1-4E44-9F97-B4D349E4BA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6">
                  <c:v>-2.298000000155298E-2</c:v>
                </c:pt>
                <c:pt idx="17">
                  <c:v>-1.9299999985378236E-3</c:v>
                </c:pt>
                <c:pt idx="18">
                  <c:v>1.841999999305699E-2</c:v>
                </c:pt>
                <c:pt idx="19">
                  <c:v>3.7879999996221159E-2</c:v>
                </c:pt>
                <c:pt idx="20">
                  <c:v>0</c:v>
                </c:pt>
                <c:pt idx="21">
                  <c:v>2.599999999802094E-2</c:v>
                </c:pt>
                <c:pt idx="22">
                  <c:v>5.2999999999883585E-2</c:v>
                </c:pt>
                <c:pt idx="23">
                  <c:v>4.7400000003108289E-2</c:v>
                </c:pt>
                <c:pt idx="25">
                  <c:v>-4.514000000199303E-2</c:v>
                </c:pt>
                <c:pt idx="26">
                  <c:v>-2.5020000000949949E-2</c:v>
                </c:pt>
                <c:pt idx="29">
                  <c:v>1.2329999997746199E-2</c:v>
                </c:pt>
                <c:pt idx="31">
                  <c:v>-4.1930000006686896E-2</c:v>
                </c:pt>
                <c:pt idx="32">
                  <c:v>7.7799999926355667E-3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1-4E44-9F97-B4D349E4BA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4">
                  <c:v>3.9600000018253922E-3</c:v>
                </c:pt>
                <c:pt idx="30">
                  <c:v>9.8700000016833656E-3</c:v>
                </c:pt>
                <c:pt idx="36">
                  <c:v>8.4499999938998371E-3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31-4E44-9F97-B4D349E4BA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6.6599999991012737E-3</c:v>
                </c:pt>
                <c:pt idx="28">
                  <c:v>1.6559999996388797E-2</c:v>
                </c:pt>
                <c:pt idx="33">
                  <c:v>1.7840000000433065E-2</c:v>
                </c:pt>
                <c:pt idx="34">
                  <c:v>1.3869999995222315E-2</c:v>
                </c:pt>
                <c:pt idx="35">
                  <c:v>1.9650000002002344E-2</c:v>
                </c:pt>
                <c:pt idx="37">
                  <c:v>1.4529999993101228E-2</c:v>
                </c:pt>
                <c:pt idx="38">
                  <c:v>2.0400000001245644E-2</c:v>
                </c:pt>
                <c:pt idx="39">
                  <c:v>2.1969999994325917E-2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31-4E44-9F97-B4D349E4BA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31-4E44-9F97-B4D349E4BA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31-4E44-9F97-B4D349E4BA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0">
                    <c:v>0</c:v>
                  </c:pt>
                  <c:pt idx="30">
                    <c:v>2.7000000000000001E-3</c:v>
                  </c:pt>
                  <c:pt idx="33">
                    <c:v>1.8E-3</c:v>
                  </c:pt>
                  <c:pt idx="34">
                    <c:v>4.8799999999999998E-3</c:v>
                  </c:pt>
                  <c:pt idx="35">
                    <c:v>6.6E-4</c:v>
                  </c:pt>
                  <c:pt idx="36">
                    <c:v>1.8E-3</c:v>
                  </c:pt>
                  <c:pt idx="37">
                    <c:v>2.1800000000000001E-3</c:v>
                  </c:pt>
                  <c:pt idx="38">
                    <c:v>2E-3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31-4E44-9F97-B4D349E4BA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-2.7114476135081222E-2</c:v>
                </c:pt>
                <c:pt idx="1">
                  <c:v>-2.7025752881114834E-2</c:v>
                </c:pt>
                <c:pt idx="2">
                  <c:v>-2.5931499415529372E-2</c:v>
                </c:pt>
                <c:pt idx="3">
                  <c:v>-2.5746659303099398E-2</c:v>
                </c:pt>
                <c:pt idx="4">
                  <c:v>-2.5665329653630206E-2</c:v>
                </c:pt>
                <c:pt idx="5">
                  <c:v>-2.40683110822352E-2</c:v>
                </c:pt>
                <c:pt idx="6">
                  <c:v>-2.3047993661621732E-2</c:v>
                </c:pt>
                <c:pt idx="7">
                  <c:v>-1.3909498503083661E-2</c:v>
                </c:pt>
                <c:pt idx="8">
                  <c:v>-1.2889181082470188E-2</c:v>
                </c:pt>
                <c:pt idx="9">
                  <c:v>-1.1440034601019168E-2</c:v>
                </c:pt>
                <c:pt idx="10">
                  <c:v>-1.1410460183030371E-2</c:v>
                </c:pt>
                <c:pt idx="11">
                  <c:v>-1.1366098556047177E-2</c:v>
                </c:pt>
                <c:pt idx="12">
                  <c:v>-1.0952056704204028E-2</c:v>
                </c:pt>
                <c:pt idx="13">
                  <c:v>-9.7986544026409713E-3</c:v>
                </c:pt>
                <c:pt idx="14">
                  <c:v>-9.1628044158818499E-3</c:v>
                </c:pt>
                <c:pt idx="15">
                  <c:v>-8.8226986090106929E-3</c:v>
                </c:pt>
                <c:pt idx="16">
                  <c:v>-4.356961492702446E-3</c:v>
                </c:pt>
                <c:pt idx="17">
                  <c:v>-4.2830254477304545E-3</c:v>
                </c:pt>
                <c:pt idx="18">
                  <c:v>-3.7654731329265188E-3</c:v>
                </c:pt>
                <c:pt idx="19">
                  <c:v>-2.1980289795203133E-3</c:v>
                </c:pt>
                <c:pt idx="20">
                  <c:v>-1.7248382916995719E-3</c:v>
                </c:pt>
                <c:pt idx="21">
                  <c:v>-1.7248382916995719E-3</c:v>
                </c:pt>
                <c:pt idx="22">
                  <c:v>-1.7248382916995719E-3</c:v>
                </c:pt>
                <c:pt idx="23">
                  <c:v>-1.1333499319236451E-3</c:v>
                </c:pt>
                <c:pt idx="24">
                  <c:v>-1.5739413829336606E-4</c:v>
                </c:pt>
                <c:pt idx="25">
                  <c:v>1.9128151209223771E-3</c:v>
                </c:pt>
                <c:pt idx="26">
                  <c:v>2.3860058087431186E-3</c:v>
                </c:pt>
                <c:pt idx="27">
                  <c:v>3.8351522901941392E-3</c:v>
                </c:pt>
                <c:pt idx="28">
                  <c:v>3.8351522901941392E-3</c:v>
                </c:pt>
                <c:pt idx="29">
                  <c:v>4.3822790229868713E-3</c:v>
                </c:pt>
                <c:pt idx="30">
                  <c:v>7.9903580176200247E-3</c:v>
                </c:pt>
                <c:pt idx="31">
                  <c:v>1.0504183546667713E-2</c:v>
                </c:pt>
                <c:pt idx="32">
                  <c:v>1.0962587025494056E-2</c:v>
                </c:pt>
                <c:pt idx="33">
                  <c:v>1.2796200940799429E-2</c:v>
                </c:pt>
                <c:pt idx="34">
                  <c:v>1.3062370702698596E-2</c:v>
                </c:pt>
                <c:pt idx="35">
                  <c:v>1.4496729975155219E-2</c:v>
                </c:pt>
                <c:pt idx="36">
                  <c:v>1.4615027647110404E-2</c:v>
                </c:pt>
                <c:pt idx="37">
                  <c:v>1.5546621813757487E-2</c:v>
                </c:pt>
                <c:pt idx="38">
                  <c:v>1.7631618281967631E-2</c:v>
                </c:pt>
                <c:pt idx="39">
                  <c:v>1.8637148493586705E-2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31-4E44-9F97-B4D349E4BA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-1717</c:v>
                </c:pt>
                <c:pt idx="1">
                  <c:v>-1711</c:v>
                </c:pt>
                <c:pt idx="2">
                  <c:v>-1637</c:v>
                </c:pt>
                <c:pt idx="3">
                  <c:v>-1624.5</c:v>
                </c:pt>
                <c:pt idx="4">
                  <c:v>-1619</c:v>
                </c:pt>
                <c:pt idx="5">
                  <c:v>-1511</c:v>
                </c:pt>
                <c:pt idx="6">
                  <c:v>-1442</c:v>
                </c:pt>
                <c:pt idx="7">
                  <c:v>-824</c:v>
                </c:pt>
                <c:pt idx="8">
                  <c:v>-755</c:v>
                </c:pt>
                <c:pt idx="9">
                  <c:v>-657</c:v>
                </c:pt>
                <c:pt idx="10">
                  <c:v>-655</c:v>
                </c:pt>
                <c:pt idx="11">
                  <c:v>-652</c:v>
                </c:pt>
                <c:pt idx="12">
                  <c:v>-624</c:v>
                </c:pt>
                <c:pt idx="13">
                  <c:v>-546</c:v>
                </c:pt>
                <c:pt idx="14">
                  <c:v>-503</c:v>
                </c:pt>
                <c:pt idx="15">
                  <c:v>-480</c:v>
                </c:pt>
                <c:pt idx="16">
                  <c:v>-178</c:v>
                </c:pt>
                <c:pt idx="17">
                  <c:v>-173</c:v>
                </c:pt>
                <c:pt idx="18">
                  <c:v>-138</c:v>
                </c:pt>
                <c:pt idx="19">
                  <c:v>-32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106</c:v>
                </c:pt>
                <c:pt idx="25">
                  <c:v>246</c:v>
                </c:pt>
                <c:pt idx="26">
                  <c:v>278</c:v>
                </c:pt>
                <c:pt idx="27">
                  <c:v>376</c:v>
                </c:pt>
                <c:pt idx="28">
                  <c:v>376</c:v>
                </c:pt>
                <c:pt idx="29">
                  <c:v>413</c:v>
                </c:pt>
                <c:pt idx="30">
                  <c:v>657</c:v>
                </c:pt>
                <c:pt idx="31">
                  <c:v>827</c:v>
                </c:pt>
                <c:pt idx="32">
                  <c:v>858</c:v>
                </c:pt>
                <c:pt idx="33">
                  <c:v>982</c:v>
                </c:pt>
                <c:pt idx="34">
                  <c:v>1000</c:v>
                </c:pt>
                <c:pt idx="35">
                  <c:v>1097</c:v>
                </c:pt>
                <c:pt idx="36">
                  <c:v>1105</c:v>
                </c:pt>
                <c:pt idx="37">
                  <c:v>1168</c:v>
                </c:pt>
                <c:pt idx="38">
                  <c:v>1309</c:v>
                </c:pt>
                <c:pt idx="39">
                  <c:v>1377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1.4694550000021991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31-4E44-9F97-B4D349E4B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89760"/>
        <c:axId val="1"/>
      </c:scatterChart>
      <c:valAx>
        <c:axId val="80968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761755485893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8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4639498432602"/>
          <c:y val="0.92024539877300615"/>
          <c:w val="0.753918495297805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504825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7493C80-8EC6-E931-ACB8-07B996CCE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590550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ABBE386-ACF3-8A1B-E486-5F450EAFD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bav-astro.de/sfs/BAVM_link.php?BAVMnr=46" TargetMode="External"/><Relationship Id="rId7" Type="http://schemas.openxmlformats.org/officeDocument/2006/relationships/hyperlink" Target="http://www.bav-astro.de/sfs/BAVM_link.php?BAVMnr=171" TargetMode="External"/><Relationship Id="rId1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52" TargetMode="External"/><Relationship Id="rId1" Type="http://schemas.openxmlformats.org/officeDocument/2006/relationships/hyperlink" Target="http://www.konkoly.hu/cgi-bin/IBVS?1800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11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6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ht="12.95" customHeight="1" x14ac:dyDescent="0.2">
      <c r="A2" t="s">
        <v>25</v>
      </c>
      <c r="B2" s="10" t="s">
        <v>46</v>
      </c>
      <c r="D2" s="27" t="s">
        <v>246</v>
      </c>
    </row>
    <row r="3" spans="1:6" ht="12.95" customHeight="1" x14ac:dyDescent="0.2">
      <c r="D3" s="27" t="s">
        <v>247</v>
      </c>
    </row>
    <row r="4" spans="1:6" ht="12.95" customHeight="1" thickTop="1" thickBot="1" x14ac:dyDescent="0.25">
      <c r="A4" s="6" t="s">
        <v>1</v>
      </c>
      <c r="C4" s="3">
        <v>43741.4</v>
      </c>
      <c r="D4" s="4">
        <v>10.622590000000001</v>
      </c>
    </row>
    <row r="5" spans="1:6" ht="12.95" customHeight="1" thickTop="1" x14ac:dyDescent="0.2">
      <c r="A5" s="11" t="s">
        <v>48</v>
      </c>
      <c r="B5" s="12"/>
      <c r="C5" s="13">
        <v>-9.5</v>
      </c>
      <c r="D5" s="12" t="s">
        <v>49</v>
      </c>
    </row>
    <row r="6" spans="1:6" ht="12.95" customHeight="1" x14ac:dyDescent="0.2">
      <c r="A6" s="6" t="s">
        <v>2</v>
      </c>
    </row>
    <row r="7" spans="1:6" ht="12.95" customHeight="1" x14ac:dyDescent="0.2">
      <c r="A7" t="s">
        <v>3</v>
      </c>
      <c r="C7">
        <f>+C4</f>
        <v>43741.4</v>
      </c>
    </row>
    <row r="8" spans="1:6" ht="12.95" customHeight="1" x14ac:dyDescent="0.2">
      <c r="A8" t="s">
        <v>4</v>
      </c>
      <c r="C8">
        <f>+D4</f>
        <v>10.622590000000001</v>
      </c>
    </row>
    <row r="9" spans="1:6" ht="12.95" customHeight="1" x14ac:dyDescent="0.2">
      <c r="A9" s="28" t="s">
        <v>55</v>
      </c>
      <c r="B9" s="29">
        <v>35</v>
      </c>
      <c r="C9" s="26" t="str">
        <f>"F"&amp;B9</f>
        <v>F35</v>
      </c>
      <c r="D9" s="27" t="str">
        <f>"G"&amp;B9</f>
        <v>G35</v>
      </c>
    </row>
    <row r="10" spans="1:6" ht="12.95" customHeight="1" thickBot="1" x14ac:dyDescent="0.25">
      <c r="A10" s="12"/>
      <c r="B10" s="12"/>
      <c r="C10" s="5" t="s">
        <v>21</v>
      </c>
      <c r="D10" s="5" t="s">
        <v>22</v>
      </c>
      <c r="E10" s="12"/>
    </row>
    <row r="11" spans="1:6" ht="12.95" customHeight="1" x14ac:dyDescent="0.2">
      <c r="A11" s="12" t="s">
        <v>17</v>
      </c>
      <c r="B11" s="12"/>
      <c r="C11" s="25">
        <f ca="1">INTERCEPT(INDIRECT($D$9):G992,INDIRECT($C$9):F992)</f>
        <v>-1.7248382916995719E-3</v>
      </c>
      <c r="D11" s="14"/>
      <c r="E11" s="12"/>
    </row>
    <row r="12" spans="1:6" ht="12.95" customHeight="1" x14ac:dyDescent="0.2">
      <c r="A12" s="12" t="s">
        <v>18</v>
      </c>
      <c r="B12" s="12"/>
      <c r="C12" s="25">
        <f ca="1">SLOPE(INDIRECT($D$9):G992,INDIRECT($C$9):F992)</f>
        <v>1.4787208994398167E-5</v>
      </c>
      <c r="D12" s="14"/>
      <c r="E12" s="12"/>
    </row>
    <row r="13" spans="1:6" ht="12.95" customHeight="1" x14ac:dyDescent="0.2">
      <c r="A13" s="12" t="s">
        <v>20</v>
      </c>
      <c r="B13" s="12"/>
      <c r="C13" s="14" t="s">
        <v>15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5" t="s">
        <v>19</v>
      </c>
      <c r="B15" s="12"/>
      <c r="C15" s="16">
        <f ca="1">(C7+C11)+(C8+C12)*INT(MAX(F21:F3533))</f>
        <v>58368.725067148494</v>
      </c>
      <c r="E15" s="17" t="s">
        <v>53</v>
      </c>
      <c r="F15" s="13">
        <v>1</v>
      </c>
    </row>
    <row r="16" spans="1:6" ht="12.95" customHeight="1" x14ac:dyDescent="0.2">
      <c r="A16" s="19" t="s">
        <v>5</v>
      </c>
      <c r="B16" s="12"/>
      <c r="C16" s="20">
        <f ca="1">+C8+C12</f>
        <v>10.622604787208996</v>
      </c>
      <c r="E16" s="17" t="s">
        <v>50</v>
      </c>
      <c r="F16" s="18">
        <f ca="1">NOW()+15018.5+$C$5/24</f>
        <v>60370.797241550921</v>
      </c>
    </row>
    <row r="17" spans="1:21" ht="12.95" customHeight="1" thickBot="1" x14ac:dyDescent="0.25">
      <c r="A17" s="17" t="s">
        <v>45</v>
      </c>
      <c r="B17" s="12"/>
      <c r="C17" s="12">
        <f>COUNT(C21:C2191)</f>
        <v>40</v>
      </c>
      <c r="E17" s="17" t="s">
        <v>54</v>
      </c>
      <c r="F17" s="18">
        <f ca="1">ROUND(2*(F16-$C$7)/$C$8,0)/2+F15</f>
        <v>1566.5</v>
      </c>
    </row>
    <row r="18" spans="1:21" ht="12.95" customHeight="1" thickTop="1" thickBot="1" x14ac:dyDescent="0.25">
      <c r="A18" s="19" t="s">
        <v>6</v>
      </c>
      <c r="B18" s="12"/>
      <c r="C18" s="22">
        <f ca="1">+C15</f>
        <v>58368.725067148494</v>
      </c>
      <c r="D18" s="23">
        <f ca="1">+C16</f>
        <v>10.622604787208996</v>
      </c>
      <c r="E18" s="17" t="s">
        <v>51</v>
      </c>
      <c r="F18" s="27">
        <f ca="1">ROUND(2*(F16-$C$15)/$C$16,0)/2+F15</f>
        <v>189.5</v>
      </c>
    </row>
    <row r="19" spans="1:21" ht="12.95" customHeight="1" thickTop="1" x14ac:dyDescent="0.2">
      <c r="E19" s="17" t="s">
        <v>52</v>
      </c>
      <c r="F19" s="21">
        <f ca="1">+$C$15+$C$16*F18-15018.5-$C$5/24</f>
        <v>45363.604507657932</v>
      </c>
    </row>
    <row r="20" spans="1:21" ht="12.95" customHeight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67</v>
      </c>
      <c r="I20" s="8" t="s">
        <v>70</v>
      </c>
      <c r="J20" s="8" t="s">
        <v>64</v>
      </c>
      <c r="K20" s="8" t="s">
        <v>62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53" t="s">
        <v>245</v>
      </c>
    </row>
    <row r="21" spans="1:21" ht="12.95" customHeight="1" x14ac:dyDescent="0.2">
      <c r="A21" s="50" t="s">
        <v>77</v>
      </c>
      <c r="B21" s="52" t="s">
        <v>57</v>
      </c>
      <c r="C21" s="51">
        <v>25502.447</v>
      </c>
      <c r="D21" s="24"/>
      <c r="E21">
        <f t="shared" ref="E21:E58" si="0">+(C21-C$7)/C$8</f>
        <v>-1716.9967964498301</v>
      </c>
      <c r="F21">
        <f t="shared" ref="F21:F60" si="1">ROUND(2*E21,0)/2</f>
        <v>-1717</v>
      </c>
      <c r="G21">
        <f>+C21-(C$7+F21*C$8)</f>
        <v>3.402999999889289E-2</v>
      </c>
      <c r="H21">
        <f>+G21</f>
        <v>3.402999999889289E-2</v>
      </c>
      <c r="O21">
        <f t="shared" ref="O21:O58" ca="1" si="2">+C$11+C$12*$F21</f>
        <v>-2.7114476135081222E-2</v>
      </c>
      <c r="Q21" s="2">
        <f t="shared" ref="Q21:Q58" si="3">+C21-15018.5</f>
        <v>10483.947</v>
      </c>
    </row>
    <row r="22" spans="1:21" ht="12.95" customHeight="1" x14ac:dyDescent="0.2">
      <c r="A22" s="50" t="s">
        <v>77</v>
      </c>
      <c r="B22" s="52" t="s">
        <v>57</v>
      </c>
      <c r="C22" s="51">
        <v>25566.281999999999</v>
      </c>
      <c r="D22" s="9"/>
      <c r="E22">
        <f t="shared" si="0"/>
        <v>-1710.9874333848902</v>
      </c>
      <c r="F22">
        <f t="shared" si="1"/>
        <v>-1711</v>
      </c>
      <c r="G22">
        <f>+C22-(C$7+F22*C$8)</f>
        <v>0.13349000000016531</v>
      </c>
      <c r="H22">
        <f>+G22</f>
        <v>0.13349000000016531</v>
      </c>
      <c r="O22">
        <f t="shared" ca="1" si="2"/>
        <v>-2.7025752881114834E-2</v>
      </c>
      <c r="Q22" s="2">
        <f t="shared" si="3"/>
        <v>10547.781999999999</v>
      </c>
    </row>
    <row r="23" spans="1:21" ht="12.95" customHeight="1" x14ac:dyDescent="0.2">
      <c r="A23" s="50" t="s">
        <v>77</v>
      </c>
      <c r="B23" s="52" t="s">
        <v>57</v>
      </c>
      <c r="C23" s="51">
        <v>26352.215</v>
      </c>
      <c r="D23" s="9"/>
      <c r="E23">
        <f t="shared" si="0"/>
        <v>-1637.0004866986301</v>
      </c>
      <c r="F23">
        <f t="shared" si="1"/>
        <v>-1637</v>
      </c>
      <c r="G23">
        <f>+C23-(C$7+F23*C$8)</f>
        <v>-5.1700000003620517E-3</v>
      </c>
      <c r="H23">
        <f>+G23</f>
        <v>-5.1700000003620517E-3</v>
      </c>
      <c r="O23">
        <f t="shared" ca="1" si="2"/>
        <v>-2.5931499415529372E-2</v>
      </c>
      <c r="Q23" s="2">
        <f t="shared" si="3"/>
        <v>11333.715</v>
      </c>
    </row>
    <row r="24" spans="1:21" ht="12.95" customHeight="1" x14ac:dyDescent="0.2">
      <c r="A24" s="50" t="s">
        <v>89</v>
      </c>
      <c r="B24" s="52" t="s">
        <v>244</v>
      </c>
      <c r="C24" s="51">
        <v>26486.472000000002</v>
      </c>
      <c r="D24" s="9"/>
      <c r="E24">
        <f t="shared" si="0"/>
        <v>-1624.3616669757562</v>
      </c>
      <c r="F24">
        <f t="shared" si="1"/>
        <v>-1624.5</v>
      </c>
      <c r="O24">
        <f t="shared" ca="1" si="2"/>
        <v>-2.5746659303099398E-2</v>
      </c>
      <c r="Q24" s="2">
        <f t="shared" si="3"/>
        <v>11467.972000000002</v>
      </c>
      <c r="U24">
        <f>+C24-(C$7+F24*C$8)</f>
        <v>1.4694550000021991</v>
      </c>
    </row>
    <row r="25" spans="1:21" ht="12.95" customHeight="1" x14ac:dyDescent="0.2">
      <c r="A25" s="50" t="s">
        <v>95</v>
      </c>
      <c r="B25" s="52" t="s">
        <v>57</v>
      </c>
      <c r="C25" s="51">
        <v>26543.48</v>
      </c>
      <c r="D25" s="9"/>
      <c r="E25">
        <f t="shared" si="0"/>
        <v>-1618.99499086381</v>
      </c>
      <c r="F25">
        <f t="shared" si="1"/>
        <v>-1619</v>
      </c>
      <c r="G25">
        <f t="shared" ref="G25:G58" si="4">+C25-(C$7+F25*C$8)</f>
        <v>5.3209999998216517E-2</v>
      </c>
      <c r="H25">
        <f t="shared" ref="H25:H36" si="5">+G25</f>
        <v>5.3209999998216517E-2</v>
      </c>
      <c r="O25">
        <f t="shared" ca="1" si="2"/>
        <v>-2.5665329653630206E-2</v>
      </c>
      <c r="Q25" s="2">
        <f t="shared" si="3"/>
        <v>11524.98</v>
      </c>
    </row>
    <row r="26" spans="1:21" ht="12.95" customHeight="1" x14ac:dyDescent="0.2">
      <c r="A26" s="50" t="s">
        <v>89</v>
      </c>
      <c r="B26" s="52" t="s">
        <v>57</v>
      </c>
      <c r="C26" s="51">
        <v>27690.7</v>
      </c>
      <c r="D26" s="9"/>
      <c r="E26">
        <f t="shared" si="0"/>
        <v>-1510.99684728489</v>
      </c>
      <c r="F26">
        <f t="shared" si="1"/>
        <v>-1511</v>
      </c>
      <c r="G26">
        <f t="shared" si="4"/>
        <v>3.3489999997982522E-2</v>
      </c>
      <c r="H26">
        <f t="shared" si="5"/>
        <v>3.3489999997982522E-2</v>
      </c>
      <c r="O26">
        <f t="shared" ca="1" si="2"/>
        <v>-2.40683110822352E-2</v>
      </c>
      <c r="Q26" s="2">
        <f t="shared" si="3"/>
        <v>12672.2</v>
      </c>
    </row>
    <row r="27" spans="1:21" ht="12.95" customHeight="1" x14ac:dyDescent="0.2">
      <c r="A27" s="50" t="s">
        <v>103</v>
      </c>
      <c r="B27" s="52" t="s">
        <v>57</v>
      </c>
      <c r="C27" s="51">
        <v>28423.601999999999</v>
      </c>
      <c r="D27" s="9"/>
      <c r="E27">
        <f t="shared" si="0"/>
        <v>-1442.00218590758</v>
      </c>
      <c r="F27">
        <f t="shared" si="1"/>
        <v>-1442</v>
      </c>
      <c r="G27">
        <f t="shared" si="4"/>
        <v>-2.3220000002766028E-2</v>
      </c>
      <c r="H27">
        <f t="shared" si="5"/>
        <v>-2.3220000002766028E-2</v>
      </c>
      <c r="O27">
        <f t="shared" ca="1" si="2"/>
        <v>-2.3047993661621732E-2</v>
      </c>
      <c r="Q27" s="2">
        <f t="shared" si="3"/>
        <v>13405.101999999999</v>
      </c>
    </row>
    <row r="28" spans="1:21" ht="12.95" customHeight="1" x14ac:dyDescent="0.2">
      <c r="A28" s="50" t="s">
        <v>108</v>
      </c>
      <c r="B28" s="52" t="s">
        <v>57</v>
      </c>
      <c r="C28" s="51">
        <v>34988.44</v>
      </c>
      <c r="D28" s="9"/>
      <c r="E28">
        <f t="shared" si="0"/>
        <v>-823.9949014317599</v>
      </c>
      <c r="F28">
        <f t="shared" si="1"/>
        <v>-824</v>
      </c>
      <c r="G28">
        <f t="shared" si="4"/>
        <v>5.415999999968335E-2</v>
      </c>
      <c r="H28">
        <f t="shared" si="5"/>
        <v>5.415999999968335E-2</v>
      </c>
      <c r="O28">
        <f t="shared" ca="1" si="2"/>
        <v>-1.3909498503083661E-2</v>
      </c>
      <c r="Q28" s="2">
        <f t="shared" si="3"/>
        <v>19969.940000000002</v>
      </c>
    </row>
    <row r="29" spans="1:21" ht="12.95" customHeight="1" x14ac:dyDescent="0.2">
      <c r="A29" s="50" t="s">
        <v>113</v>
      </c>
      <c r="B29" s="52" t="s">
        <v>57</v>
      </c>
      <c r="C29" s="51">
        <v>35721.436000000002</v>
      </c>
      <c r="D29" s="9"/>
      <c r="E29">
        <f t="shared" si="0"/>
        <v>-754.99139098845001</v>
      </c>
      <c r="F29">
        <f t="shared" si="1"/>
        <v>-755</v>
      </c>
      <c r="G29">
        <f t="shared" si="4"/>
        <v>9.1449999999895226E-2</v>
      </c>
      <c r="H29">
        <f t="shared" si="5"/>
        <v>9.1449999999895226E-2</v>
      </c>
      <c r="O29">
        <f t="shared" ca="1" si="2"/>
        <v>-1.2889181082470188E-2</v>
      </c>
      <c r="Q29" s="2">
        <f t="shared" si="3"/>
        <v>20702.936000000002</v>
      </c>
    </row>
    <row r="30" spans="1:21" ht="12.95" customHeight="1" x14ac:dyDescent="0.2">
      <c r="A30" s="50" t="s">
        <v>117</v>
      </c>
      <c r="B30" s="52" t="s">
        <v>57</v>
      </c>
      <c r="C30" s="51">
        <v>36762.26</v>
      </c>
      <c r="D30" s="9"/>
      <c r="E30">
        <f t="shared" si="0"/>
        <v>-657.00926045342976</v>
      </c>
      <c r="F30">
        <f t="shared" si="1"/>
        <v>-657</v>
      </c>
      <c r="G30">
        <f t="shared" si="4"/>
        <v>-9.8369999999704305E-2</v>
      </c>
      <c r="H30">
        <f t="shared" si="5"/>
        <v>-9.8369999999704305E-2</v>
      </c>
      <c r="O30">
        <f t="shared" ca="1" si="2"/>
        <v>-1.1440034601019168E-2</v>
      </c>
      <c r="Q30" s="2">
        <f t="shared" si="3"/>
        <v>21743.760000000002</v>
      </c>
    </row>
    <row r="31" spans="1:21" ht="12.95" customHeight="1" x14ac:dyDescent="0.2">
      <c r="A31" s="50" t="s">
        <v>124</v>
      </c>
      <c r="B31" s="52" t="s">
        <v>57</v>
      </c>
      <c r="C31" s="51">
        <v>36783.561699999998</v>
      </c>
      <c r="D31" s="9"/>
      <c r="E31">
        <f t="shared" si="0"/>
        <v>-655.00393971715016</v>
      </c>
      <c r="F31">
        <f t="shared" si="1"/>
        <v>-655</v>
      </c>
      <c r="G31">
        <f t="shared" si="4"/>
        <v>-4.1850000001431908E-2</v>
      </c>
      <c r="H31">
        <f t="shared" si="5"/>
        <v>-4.1850000001431908E-2</v>
      </c>
      <c r="O31">
        <f t="shared" ca="1" si="2"/>
        <v>-1.1410460183030371E-2</v>
      </c>
      <c r="Q31" s="2">
        <f t="shared" si="3"/>
        <v>21765.061699999998</v>
      </c>
    </row>
    <row r="32" spans="1:21" x14ac:dyDescent="0.2">
      <c r="A32" s="50" t="s">
        <v>113</v>
      </c>
      <c r="B32" s="52" t="s">
        <v>57</v>
      </c>
      <c r="C32" s="51">
        <v>36815.485000000001</v>
      </c>
      <c r="D32" s="9"/>
      <c r="E32">
        <f t="shared" si="0"/>
        <v>-651.9987121784801</v>
      </c>
      <c r="F32">
        <f t="shared" si="1"/>
        <v>-652</v>
      </c>
      <c r="G32">
        <f t="shared" si="4"/>
        <v>1.367999999638414E-2</v>
      </c>
      <c r="H32">
        <f t="shared" si="5"/>
        <v>1.367999999638414E-2</v>
      </c>
      <c r="O32">
        <f t="shared" ca="1" si="2"/>
        <v>-1.1366098556047177E-2</v>
      </c>
      <c r="Q32" s="2">
        <f t="shared" si="3"/>
        <v>21796.985000000001</v>
      </c>
    </row>
    <row r="33" spans="1:34" x14ac:dyDescent="0.2">
      <c r="A33" s="50" t="s">
        <v>132</v>
      </c>
      <c r="B33" s="52" t="s">
        <v>57</v>
      </c>
      <c r="C33" s="51">
        <v>37112.904300000002</v>
      </c>
      <c r="D33" s="9"/>
      <c r="E33">
        <f t="shared" si="0"/>
        <v>-623.99995669605994</v>
      </c>
      <c r="F33">
        <f t="shared" si="1"/>
        <v>-624</v>
      </c>
      <c r="G33">
        <f t="shared" si="4"/>
        <v>4.600000029313378E-4</v>
      </c>
      <c r="H33">
        <f t="shared" si="5"/>
        <v>4.600000029313378E-4</v>
      </c>
      <c r="O33">
        <f t="shared" ca="1" si="2"/>
        <v>-1.0952056704204028E-2</v>
      </c>
      <c r="Q33" s="2">
        <f t="shared" si="3"/>
        <v>22094.404300000002</v>
      </c>
    </row>
    <row r="34" spans="1:34" x14ac:dyDescent="0.2">
      <c r="A34" s="50" t="s">
        <v>113</v>
      </c>
      <c r="B34" s="52" t="s">
        <v>57</v>
      </c>
      <c r="C34" s="51">
        <v>37941.355000000003</v>
      </c>
      <c r="D34" s="9"/>
      <c r="E34">
        <f t="shared" si="0"/>
        <v>-546.01043624953968</v>
      </c>
      <c r="F34">
        <f t="shared" si="1"/>
        <v>-546</v>
      </c>
      <c r="G34">
        <f t="shared" si="4"/>
        <v>-0.11086000000068452</v>
      </c>
      <c r="H34">
        <f t="shared" si="5"/>
        <v>-0.11086000000068452</v>
      </c>
      <c r="O34">
        <f t="shared" ca="1" si="2"/>
        <v>-9.7986544026409713E-3</v>
      </c>
      <c r="Q34" s="2">
        <f t="shared" si="3"/>
        <v>22922.855000000003</v>
      </c>
    </row>
    <row r="35" spans="1:34" x14ac:dyDescent="0.2">
      <c r="A35" s="50" t="s">
        <v>113</v>
      </c>
      <c r="B35" s="52" t="s">
        <v>57</v>
      </c>
      <c r="C35" s="51">
        <v>38398.224000000002</v>
      </c>
      <c r="D35" s="9"/>
      <c r="E35">
        <f t="shared" si="0"/>
        <v>-503.00124545896989</v>
      </c>
      <c r="F35">
        <f t="shared" si="1"/>
        <v>-503</v>
      </c>
      <c r="G35">
        <f t="shared" si="4"/>
        <v>-1.322999999683816E-2</v>
      </c>
      <c r="H35">
        <f t="shared" si="5"/>
        <v>-1.322999999683816E-2</v>
      </c>
      <c r="O35">
        <f t="shared" ca="1" si="2"/>
        <v>-9.1628044158818499E-3</v>
      </c>
      <c r="Q35" s="2">
        <f t="shared" si="3"/>
        <v>23379.724000000002</v>
      </c>
    </row>
    <row r="36" spans="1:34" x14ac:dyDescent="0.2">
      <c r="A36" s="50" t="s">
        <v>113</v>
      </c>
      <c r="B36" s="52" t="s">
        <v>57</v>
      </c>
      <c r="C36" s="51">
        <v>38642.464</v>
      </c>
      <c r="D36" s="9"/>
      <c r="E36">
        <f t="shared" si="0"/>
        <v>-480.00873609920001</v>
      </c>
      <c r="F36">
        <f t="shared" si="1"/>
        <v>-480</v>
      </c>
      <c r="G36">
        <f t="shared" si="4"/>
        <v>-9.2799999998533167E-2</v>
      </c>
      <c r="H36">
        <f t="shared" si="5"/>
        <v>-9.2799999998533167E-2</v>
      </c>
      <c r="O36">
        <f t="shared" ca="1" si="2"/>
        <v>-8.8226986090106929E-3</v>
      </c>
      <c r="Q36" s="2">
        <f t="shared" si="3"/>
        <v>23623.964</v>
      </c>
    </row>
    <row r="37" spans="1:34" x14ac:dyDescent="0.2">
      <c r="A37" t="s">
        <v>30</v>
      </c>
      <c r="C37" s="24">
        <v>41850.555999999997</v>
      </c>
      <c r="D37" s="24"/>
      <c r="E37">
        <f t="shared" si="0"/>
        <v>-178.00216331422041</v>
      </c>
      <c r="F37">
        <f t="shared" si="1"/>
        <v>-178</v>
      </c>
      <c r="G37">
        <f t="shared" si="4"/>
        <v>-2.298000000155298E-2</v>
      </c>
      <c r="I37">
        <f t="shared" ref="I37:I44" si="6">+G37</f>
        <v>-2.298000000155298E-2</v>
      </c>
      <c r="O37">
        <f t="shared" ca="1" si="2"/>
        <v>-4.356961492702446E-3</v>
      </c>
      <c r="Q37" s="2">
        <f t="shared" si="3"/>
        <v>26832.055999999997</v>
      </c>
      <c r="AD37">
        <v>1</v>
      </c>
      <c r="AE37">
        <v>6</v>
      </c>
      <c r="AF37" t="s">
        <v>29</v>
      </c>
      <c r="AH37" t="s">
        <v>31</v>
      </c>
    </row>
    <row r="38" spans="1:34" x14ac:dyDescent="0.2">
      <c r="A38" t="s">
        <v>33</v>
      </c>
      <c r="C38" s="24">
        <v>41903.69</v>
      </c>
      <c r="D38" s="24"/>
      <c r="E38">
        <f t="shared" si="0"/>
        <v>-173.00018168826992</v>
      </c>
      <c r="F38">
        <f t="shared" si="1"/>
        <v>-173</v>
      </c>
      <c r="G38">
        <f t="shared" si="4"/>
        <v>-1.9299999985378236E-3</v>
      </c>
      <c r="I38">
        <f t="shared" si="6"/>
        <v>-1.9299999985378236E-3</v>
      </c>
      <c r="O38">
        <f t="shared" ca="1" si="2"/>
        <v>-4.2830254477304545E-3</v>
      </c>
      <c r="Q38" s="2">
        <f t="shared" si="3"/>
        <v>26885.190000000002</v>
      </c>
      <c r="AC38" t="s">
        <v>32</v>
      </c>
      <c r="AH38" t="s">
        <v>34</v>
      </c>
    </row>
    <row r="39" spans="1:34" x14ac:dyDescent="0.2">
      <c r="A39" t="s">
        <v>36</v>
      </c>
      <c r="C39" s="24">
        <v>42275.500999999997</v>
      </c>
      <c r="D39" s="24"/>
      <c r="E39">
        <f t="shared" si="0"/>
        <v>-137.99826595962048</v>
      </c>
      <c r="F39">
        <f t="shared" si="1"/>
        <v>-138</v>
      </c>
      <c r="G39">
        <f t="shared" si="4"/>
        <v>1.841999999305699E-2</v>
      </c>
      <c r="I39">
        <f t="shared" si="6"/>
        <v>1.841999999305699E-2</v>
      </c>
      <c r="O39">
        <f t="shared" ca="1" si="2"/>
        <v>-3.7654731329265188E-3</v>
      </c>
      <c r="Q39" s="2">
        <f t="shared" si="3"/>
        <v>27257.000999999997</v>
      </c>
      <c r="AC39" t="s">
        <v>35</v>
      </c>
      <c r="AE39">
        <v>8</v>
      </c>
      <c r="AF39" t="s">
        <v>29</v>
      </c>
      <c r="AH39" t="s">
        <v>31</v>
      </c>
    </row>
    <row r="40" spans="1:34" x14ac:dyDescent="0.2">
      <c r="A40" t="s">
        <v>37</v>
      </c>
      <c r="C40" s="24">
        <v>43401.514999999999</v>
      </c>
      <c r="D40" s="24"/>
      <c r="E40">
        <f t="shared" si="0"/>
        <v>-31.996434014680226</v>
      </c>
      <c r="F40">
        <f t="shared" si="1"/>
        <v>-32</v>
      </c>
      <c r="G40">
        <f t="shared" si="4"/>
        <v>3.7879999996221159E-2</v>
      </c>
      <c r="I40">
        <f t="shared" si="6"/>
        <v>3.7879999996221159E-2</v>
      </c>
      <c r="O40">
        <f t="shared" ca="1" si="2"/>
        <v>-2.1980289795203133E-3</v>
      </c>
      <c r="Q40" s="2">
        <f t="shared" si="3"/>
        <v>28383.014999999999</v>
      </c>
      <c r="AC40" t="s">
        <v>35</v>
      </c>
      <c r="AH40" t="s">
        <v>34</v>
      </c>
    </row>
    <row r="41" spans="1:34" x14ac:dyDescent="0.2">
      <c r="A41" t="s">
        <v>13</v>
      </c>
      <c r="C41" s="24">
        <v>43741.4</v>
      </c>
      <c r="D41" s="24" t="s">
        <v>15</v>
      </c>
      <c r="E41">
        <f t="shared" si="0"/>
        <v>0</v>
      </c>
      <c r="F41">
        <f t="shared" si="1"/>
        <v>0</v>
      </c>
      <c r="G41">
        <f t="shared" si="4"/>
        <v>0</v>
      </c>
      <c r="I41">
        <f t="shared" si="6"/>
        <v>0</v>
      </c>
      <c r="O41">
        <f t="shared" ca="1" si="2"/>
        <v>-1.7248382916995719E-3</v>
      </c>
      <c r="Q41" s="2">
        <f t="shared" si="3"/>
        <v>28722.9</v>
      </c>
    </row>
    <row r="42" spans="1:34" x14ac:dyDescent="0.2">
      <c r="A42" t="s">
        <v>37</v>
      </c>
      <c r="C42" s="24">
        <v>43741.425999999999</v>
      </c>
      <c r="D42" s="24"/>
      <c r="E42">
        <f t="shared" si="0"/>
        <v>2.4476139997892171E-3</v>
      </c>
      <c r="F42">
        <f t="shared" si="1"/>
        <v>0</v>
      </c>
      <c r="G42">
        <f t="shared" si="4"/>
        <v>2.599999999802094E-2</v>
      </c>
      <c r="I42">
        <f t="shared" si="6"/>
        <v>2.599999999802094E-2</v>
      </c>
      <c r="O42">
        <f t="shared" ca="1" si="2"/>
        <v>-1.7248382916995719E-3</v>
      </c>
      <c r="Q42" s="2">
        <f t="shared" si="3"/>
        <v>28722.925999999999</v>
      </c>
      <c r="AC42" t="s">
        <v>35</v>
      </c>
      <c r="AH42" t="s">
        <v>34</v>
      </c>
    </row>
    <row r="43" spans="1:34" x14ac:dyDescent="0.2">
      <c r="A43" t="s">
        <v>38</v>
      </c>
      <c r="C43" s="24">
        <v>43741.453000000001</v>
      </c>
      <c r="D43" s="24"/>
      <c r="E43">
        <f t="shared" si="0"/>
        <v>4.9893669999391465E-3</v>
      </c>
      <c r="F43">
        <f t="shared" si="1"/>
        <v>0</v>
      </c>
      <c r="G43">
        <f t="shared" si="4"/>
        <v>5.2999999999883585E-2</v>
      </c>
      <c r="I43">
        <f t="shared" si="6"/>
        <v>5.2999999999883585E-2</v>
      </c>
      <c r="O43">
        <f t="shared" ca="1" si="2"/>
        <v>-1.7248382916995719E-3</v>
      </c>
      <c r="Q43" s="2">
        <f t="shared" si="3"/>
        <v>28722.953000000001</v>
      </c>
      <c r="AC43" t="s">
        <v>35</v>
      </c>
      <c r="AE43">
        <v>9</v>
      </c>
      <c r="AF43" t="s">
        <v>29</v>
      </c>
      <c r="AH43" t="s">
        <v>31</v>
      </c>
    </row>
    <row r="44" spans="1:34" x14ac:dyDescent="0.2">
      <c r="A44" t="s">
        <v>39</v>
      </c>
      <c r="C44" s="24">
        <v>44166.351000000002</v>
      </c>
      <c r="D44" s="24"/>
      <c r="E44">
        <f t="shared" si="0"/>
        <v>40.004462188600037</v>
      </c>
      <c r="F44">
        <f t="shared" si="1"/>
        <v>40</v>
      </c>
      <c r="G44">
        <f t="shared" si="4"/>
        <v>4.7400000003108289E-2</v>
      </c>
      <c r="I44">
        <f t="shared" si="6"/>
        <v>4.7400000003108289E-2</v>
      </c>
      <c r="O44">
        <f t="shared" ca="1" si="2"/>
        <v>-1.1333499319236451E-3</v>
      </c>
      <c r="Q44" s="2">
        <f t="shared" si="3"/>
        <v>29147.851000000002</v>
      </c>
      <c r="AC44" t="s">
        <v>35</v>
      </c>
      <c r="AH44" t="s">
        <v>34</v>
      </c>
    </row>
    <row r="45" spans="1:34" x14ac:dyDescent="0.2">
      <c r="A45" t="s">
        <v>40</v>
      </c>
      <c r="C45" s="24">
        <v>44867.398500000003</v>
      </c>
      <c r="D45" s="24"/>
      <c r="E45">
        <f t="shared" si="0"/>
        <v>106.00037279044014</v>
      </c>
      <c r="F45">
        <f t="shared" si="1"/>
        <v>106</v>
      </c>
      <c r="G45">
        <f t="shared" si="4"/>
        <v>3.9600000018253922E-3</v>
      </c>
      <c r="J45">
        <f>+G45</f>
        <v>3.9600000018253922E-3</v>
      </c>
      <c r="O45">
        <f t="shared" ca="1" si="2"/>
        <v>-1.5739413829336606E-4</v>
      </c>
      <c r="Q45" s="2">
        <f t="shared" si="3"/>
        <v>29848.898500000003</v>
      </c>
      <c r="AC45" t="s">
        <v>32</v>
      </c>
      <c r="AH45" t="s">
        <v>34</v>
      </c>
    </row>
    <row r="46" spans="1:34" x14ac:dyDescent="0.2">
      <c r="A46" t="s">
        <v>41</v>
      </c>
      <c r="C46" s="24">
        <v>46354.512000000002</v>
      </c>
      <c r="D46" s="24"/>
      <c r="E46">
        <f t="shared" si="0"/>
        <v>245.99575056554013</v>
      </c>
      <c r="F46">
        <f t="shared" si="1"/>
        <v>246</v>
      </c>
      <c r="G46">
        <f t="shared" si="4"/>
        <v>-4.514000000199303E-2</v>
      </c>
      <c r="I46">
        <f>+G46</f>
        <v>-4.514000000199303E-2</v>
      </c>
      <c r="O46">
        <f t="shared" ca="1" si="2"/>
        <v>1.9128151209223771E-3</v>
      </c>
      <c r="Q46" s="2">
        <f t="shared" si="3"/>
        <v>31336.012000000002</v>
      </c>
      <c r="AC46" t="s">
        <v>35</v>
      </c>
      <c r="AH46" t="s">
        <v>34</v>
      </c>
    </row>
    <row r="47" spans="1:34" x14ac:dyDescent="0.2">
      <c r="A47" t="s">
        <v>42</v>
      </c>
      <c r="C47" s="24">
        <v>46694.455000000002</v>
      </c>
      <c r="D47" s="24"/>
      <c r="E47">
        <f t="shared" si="0"/>
        <v>277.99764464222005</v>
      </c>
      <c r="F47">
        <f t="shared" si="1"/>
        <v>278</v>
      </c>
      <c r="G47">
        <f t="shared" si="4"/>
        <v>-2.5020000000949949E-2</v>
      </c>
      <c r="I47">
        <f>+G47</f>
        <v>-2.5020000000949949E-2</v>
      </c>
      <c r="O47">
        <f t="shared" ca="1" si="2"/>
        <v>2.3860058087431186E-3</v>
      </c>
      <c r="Q47" s="2">
        <f t="shared" si="3"/>
        <v>31675.955000000002</v>
      </c>
      <c r="AC47" t="s">
        <v>35</v>
      </c>
      <c r="AH47" t="s">
        <v>34</v>
      </c>
    </row>
    <row r="48" spans="1:34" x14ac:dyDescent="0.2">
      <c r="A48" s="30" t="s">
        <v>40</v>
      </c>
      <c r="B48" s="30"/>
      <c r="C48" s="31">
        <v>47735.500500000002</v>
      </c>
      <c r="D48" s="31"/>
      <c r="E48">
        <f t="shared" si="0"/>
        <v>376.00062696574003</v>
      </c>
      <c r="F48">
        <f t="shared" si="1"/>
        <v>376</v>
      </c>
      <c r="G48">
        <f t="shared" si="4"/>
        <v>6.6599999991012737E-3</v>
      </c>
      <c r="K48">
        <f>+G48</f>
        <v>6.6599999991012737E-3</v>
      </c>
      <c r="O48">
        <f t="shared" ca="1" si="2"/>
        <v>3.8351522901941392E-3</v>
      </c>
      <c r="Q48" s="2">
        <f t="shared" si="3"/>
        <v>32717.000500000002</v>
      </c>
      <c r="AC48" t="s">
        <v>32</v>
      </c>
      <c r="AH48" t="s">
        <v>34</v>
      </c>
    </row>
    <row r="49" spans="1:34" x14ac:dyDescent="0.2">
      <c r="A49" s="50" t="s">
        <v>192</v>
      </c>
      <c r="B49" s="52" t="s">
        <v>57</v>
      </c>
      <c r="C49" s="51">
        <v>47735.510399999999</v>
      </c>
      <c r="D49" s="9"/>
      <c r="E49">
        <f t="shared" si="0"/>
        <v>376.00155894183973</v>
      </c>
      <c r="F49">
        <f t="shared" si="1"/>
        <v>376</v>
      </c>
      <c r="G49">
        <f t="shared" si="4"/>
        <v>1.6559999996388797E-2</v>
      </c>
      <c r="K49">
        <f>+G49</f>
        <v>1.6559999996388797E-2</v>
      </c>
      <c r="O49">
        <f t="shared" ca="1" si="2"/>
        <v>3.8351522901941392E-3</v>
      </c>
      <c r="Q49" s="2">
        <f t="shared" si="3"/>
        <v>32717.010399999999</v>
      </c>
    </row>
    <row r="50" spans="1:34" x14ac:dyDescent="0.2">
      <c r="A50" s="30" t="s">
        <v>43</v>
      </c>
      <c r="B50" s="30"/>
      <c r="C50" s="31">
        <v>48128.542000000001</v>
      </c>
      <c r="D50" s="31"/>
      <c r="E50">
        <f t="shared" si="0"/>
        <v>413.00116073386994</v>
      </c>
      <c r="F50">
        <f t="shared" si="1"/>
        <v>413</v>
      </c>
      <c r="G50">
        <f t="shared" si="4"/>
        <v>1.2329999997746199E-2</v>
      </c>
      <c r="I50">
        <f>+G50</f>
        <v>1.2329999997746199E-2</v>
      </c>
      <c r="O50">
        <f t="shared" ca="1" si="2"/>
        <v>4.3822790229868713E-3</v>
      </c>
      <c r="Q50" s="2">
        <f t="shared" si="3"/>
        <v>33110.042000000001</v>
      </c>
      <c r="AC50" t="s">
        <v>35</v>
      </c>
      <c r="AH50" t="s">
        <v>34</v>
      </c>
    </row>
    <row r="51" spans="1:34" x14ac:dyDescent="0.2">
      <c r="A51" s="30" t="s">
        <v>44</v>
      </c>
      <c r="B51" s="30"/>
      <c r="C51" s="31">
        <v>50720.451500000003</v>
      </c>
      <c r="D51" s="31">
        <v>2.7000000000000001E-3</v>
      </c>
      <c r="E51">
        <f t="shared" si="0"/>
        <v>657.00092915193011</v>
      </c>
      <c r="F51">
        <f t="shared" si="1"/>
        <v>657</v>
      </c>
      <c r="G51">
        <f t="shared" si="4"/>
        <v>9.8700000016833656E-3</v>
      </c>
      <c r="J51">
        <f>+G51</f>
        <v>9.8700000016833656E-3</v>
      </c>
      <c r="O51">
        <f t="shared" ca="1" si="2"/>
        <v>7.9903580176200247E-3</v>
      </c>
      <c r="Q51" s="2">
        <f t="shared" si="3"/>
        <v>35701.951500000003</v>
      </c>
    </row>
    <row r="52" spans="1:34" x14ac:dyDescent="0.2">
      <c r="A52" s="50" t="s">
        <v>209</v>
      </c>
      <c r="B52" s="52" t="s">
        <v>57</v>
      </c>
      <c r="C52" s="51">
        <v>52526.239999999998</v>
      </c>
      <c r="D52" s="9"/>
      <c r="E52">
        <f t="shared" si="0"/>
        <v>826.99605275172962</v>
      </c>
      <c r="F52">
        <f t="shared" si="1"/>
        <v>827</v>
      </c>
      <c r="G52">
        <f t="shared" si="4"/>
        <v>-4.1930000006686896E-2</v>
      </c>
      <c r="I52">
        <f>+G52</f>
        <v>-4.1930000006686896E-2</v>
      </c>
      <c r="O52">
        <f t="shared" ca="1" si="2"/>
        <v>1.0504183546667713E-2</v>
      </c>
      <c r="Q52" s="2">
        <f t="shared" si="3"/>
        <v>37507.74</v>
      </c>
    </row>
    <row r="53" spans="1:34" x14ac:dyDescent="0.2">
      <c r="A53" s="50" t="s">
        <v>214</v>
      </c>
      <c r="B53" s="52" t="s">
        <v>57</v>
      </c>
      <c r="C53" s="51">
        <v>52855.59</v>
      </c>
      <c r="D53" s="9"/>
      <c r="E53">
        <f t="shared" si="0"/>
        <v>858.00073240141944</v>
      </c>
      <c r="F53">
        <f t="shared" si="1"/>
        <v>858</v>
      </c>
      <c r="G53">
        <f t="shared" si="4"/>
        <v>7.7799999926355667E-3</v>
      </c>
      <c r="I53">
        <f>+G53</f>
        <v>7.7799999926355667E-3</v>
      </c>
      <c r="O53">
        <f t="shared" ca="1" si="2"/>
        <v>1.0962587025494056E-2</v>
      </c>
      <c r="Q53" s="2">
        <f t="shared" si="3"/>
        <v>37837.089999999997</v>
      </c>
    </row>
    <row r="54" spans="1:34" x14ac:dyDescent="0.2">
      <c r="A54" s="32" t="s">
        <v>56</v>
      </c>
      <c r="B54" s="33" t="s">
        <v>57</v>
      </c>
      <c r="C54" s="32">
        <v>54172.801220000001</v>
      </c>
      <c r="D54" s="32">
        <v>1.8E-3</v>
      </c>
      <c r="E54">
        <f t="shared" si="0"/>
        <v>982.00167943975987</v>
      </c>
      <c r="F54">
        <f t="shared" si="1"/>
        <v>982</v>
      </c>
      <c r="G54">
        <f t="shared" si="4"/>
        <v>1.7840000000433065E-2</v>
      </c>
      <c r="K54">
        <f>+G54</f>
        <v>1.7840000000433065E-2</v>
      </c>
      <c r="O54">
        <f t="shared" ca="1" si="2"/>
        <v>1.2796200940799429E-2</v>
      </c>
      <c r="Q54" s="2">
        <f t="shared" si="3"/>
        <v>39154.301220000001</v>
      </c>
    </row>
    <row r="55" spans="1:34" x14ac:dyDescent="0.2">
      <c r="A55" s="32" t="s">
        <v>56</v>
      </c>
      <c r="B55" s="33" t="s">
        <v>57</v>
      </c>
      <c r="C55" s="32">
        <v>54364.00387</v>
      </c>
      <c r="D55" s="32">
        <v>4.8799999999999998E-3</v>
      </c>
      <c r="E55">
        <f t="shared" si="0"/>
        <v>1000.0013057079299</v>
      </c>
      <c r="F55">
        <f t="shared" si="1"/>
        <v>1000</v>
      </c>
      <c r="G55">
        <f t="shared" si="4"/>
        <v>1.3869999995222315E-2</v>
      </c>
      <c r="K55">
        <f>+G55</f>
        <v>1.3869999995222315E-2</v>
      </c>
      <c r="O55">
        <f t="shared" ca="1" si="2"/>
        <v>1.3062370702698596E-2</v>
      </c>
      <c r="Q55" s="2">
        <f t="shared" si="3"/>
        <v>39345.50387</v>
      </c>
    </row>
    <row r="56" spans="1:34" x14ac:dyDescent="0.2">
      <c r="A56" s="32" t="s">
        <v>56</v>
      </c>
      <c r="B56" s="33" t="s">
        <v>57</v>
      </c>
      <c r="C56" s="32">
        <v>55394.400880000001</v>
      </c>
      <c r="D56" s="32">
        <v>6.6E-4</v>
      </c>
      <c r="E56">
        <f t="shared" si="0"/>
        <v>1097.0018498313498</v>
      </c>
      <c r="F56">
        <f t="shared" si="1"/>
        <v>1097</v>
      </c>
      <c r="G56">
        <f t="shared" si="4"/>
        <v>1.9650000002002344E-2</v>
      </c>
      <c r="K56">
        <f>+G56</f>
        <v>1.9650000002002344E-2</v>
      </c>
      <c r="O56">
        <f t="shared" ca="1" si="2"/>
        <v>1.4496729975155219E-2</v>
      </c>
      <c r="Q56" s="2">
        <f t="shared" si="3"/>
        <v>40375.900880000001</v>
      </c>
    </row>
    <row r="57" spans="1:34" x14ac:dyDescent="0.2">
      <c r="A57" s="36" t="s">
        <v>59</v>
      </c>
      <c r="B57" s="36"/>
      <c r="C57" s="34">
        <v>55479.3704</v>
      </c>
      <c r="D57" s="34">
        <v>1.8E-3</v>
      </c>
      <c r="E57">
        <f t="shared" si="0"/>
        <v>1105.0007954745497</v>
      </c>
      <c r="F57">
        <f t="shared" si="1"/>
        <v>1105</v>
      </c>
      <c r="G57">
        <f t="shared" si="4"/>
        <v>8.4499999938998371E-3</v>
      </c>
      <c r="J57">
        <f>+G57</f>
        <v>8.4499999938998371E-3</v>
      </c>
      <c r="O57">
        <f t="shared" ca="1" si="2"/>
        <v>1.4615027647110404E-2</v>
      </c>
      <c r="Q57" s="2">
        <f t="shared" si="3"/>
        <v>40460.8704</v>
      </c>
    </row>
    <row r="58" spans="1:34" x14ac:dyDescent="0.2">
      <c r="A58" s="31" t="s">
        <v>58</v>
      </c>
      <c r="B58" s="35" t="s">
        <v>57</v>
      </c>
      <c r="C58" s="31">
        <v>56148.599649999996</v>
      </c>
      <c r="D58" s="31">
        <v>2.1800000000000001E-3</v>
      </c>
      <c r="E58">
        <f t="shared" si="0"/>
        <v>1168.0013678396695</v>
      </c>
      <c r="F58">
        <f t="shared" si="1"/>
        <v>1168</v>
      </c>
      <c r="G58">
        <f t="shared" si="4"/>
        <v>1.4529999993101228E-2</v>
      </c>
      <c r="K58">
        <f>+G58</f>
        <v>1.4529999993101228E-2</v>
      </c>
      <c r="O58">
        <f t="shared" ca="1" si="2"/>
        <v>1.5546621813757487E-2</v>
      </c>
      <c r="Q58" s="2">
        <f t="shared" si="3"/>
        <v>41130.099649999996</v>
      </c>
    </row>
    <row r="59" spans="1:34" x14ac:dyDescent="0.2">
      <c r="A59" s="54" t="s">
        <v>248</v>
      </c>
      <c r="B59" s="55" t="s">
        <v>57</v>
      </c>
      <c r="C59" s="56">
        <v>57646.39071</v>
      </c>
      <c r="D59" s="56">
        <v>2E-3</v>
      </c>
      <c r="E59">
        <f>+(C59-C$7)/C$8</f>
        <v>1309.0019204355997</v>
      </c>
      <c r="F59">
        <f t="shared" si="1"/>
        <v>1309</v>
      </c>
      <c r="G59">
        <f>+C59-(C$7+F59*C$8)</f>
        <v>2.0400000001245644E-2</v>
      </c>
      <c r="K59">
        <f>+G59</f>
        <v>2.0400000001245644E-2</v>
      </c>
      <c r="O59">
        <f ca="1">+C$11+C$12*$F59</f>
        <v>1.7631618281967631E-2</v>
      </c>
      <c r="Q59" s="2">
        <f>+C59-15018.5</f>
        <v>42627.89071</v>
      </c>
    </row>
    <row r="60" spans="1:34" x14ac:dyDescent="0.2">
      <c r="A60" s="57" t="s">
        <v>0</v>
      </c>
      <c r="B60" s="58" t="s">
        <v>57</v>
      </c>
      <c r="C60" s="57">
        <v>58368.7284</v>
      </c>
      <c r="D60" s="57">
        <v>8.9999999999999998E-4</v>
      </c>
      <c r="E60">
        <f>+(C60-C$7)/C$8</f>
        <v>1377.0020682338297</v>
      </c>
      <c r="F60">
        <f t="shared" si="1"/>
        <v>1377</v>
      </c>
      <c r="G60">
        <f>+C60-(C$7+F60*C$8)</f>
        <v>2.1969999994325917E-2</v>
      </c>
      <c r="K60">
        <f>+G60</f>
        <v>2.1969999994325917E-2</v>
      </c>
      <c r="O60">
        <f ca="1">+C$11+C$12*$F60</f>
        <v>1.8637148493586705E-2</v>
      </c>
      <c r="Q60" s="2">
        <f>+C60-15018.5</f>
        <v>43350.2284</v>
      </c>
    </row>
    <row r="61" spans="1:34" x14ac:dyDescent="0.2">
      <c r="B61" s="14"/>
      <c r="C61" s="9"/>
      <c r="D61" s="9"/>
    </row>
    <row r="62" spans="1:34" x14ac:dyDescent="0.2">
      <c r="B62" s="14"/>
      <c r="C62" s="9"/>
      <c r="D62" s="9"/>
    </row>
    <row r="63" spans="1:34" x14ac:dyDescent="0.2">
      <c r="B63" s="14"/>
      <c r="C63" s="9"/>
      <c r="D63" s="9"/>
    </row>
    <row r="64" spans="1:34" x14ac:dyDescent="0.2">
      <c r="B64" s="14"/>
      <c r="C64" s="9"/>
      <c r="D64" s="9"/>
    </row>
    <row r="65" spans="2:4" x14ac:dyDescent="0.2">
      <c r="B65" s="14"/>
      <c r="C65" s="9"/>
      <c r="D65" s="9"/>
    </row>
    <row r="66" spans="2:4" x14ac:dyDescent="0.2">
      <c r="B66" s="14"/>
      <c r="C66" s="9"/>
      <c r="D66" s="9"/>
    </row>
    <row r="67" spans="2:4" x14ac:dyDescent="0.2">
      <c r="B67" s="14"/>
      <c r="C67" s="9"/>
      <c r="D67" s="9"/>
    </row>
    <row r="68" spans="2:4" x14ac:dyDescent="0.2">
      <c r="B68" s="14"/>
      <c r="C68" s="9"/>
      <c r="D68" s="9"/>
    </row>
    <row r="69" spans="2:4" x14ac:dyDescent="0.2">
      <c r="B69" s="14"/>
      <c r="C69" s="9"/>
      <c r="D69" s="9"/>
    </row>
    <row r="70" spans="2:4" x14ac:dyDescent="0.2">
      <c r="B70" s="14"/>
      <c r="C70" s="9"/>
      <c r="D70" s="9"/>
    </row>
    <row r="71" spans="2:4" x14ac:dyDescent="0.2">
      <c r="B71" s="14"/>
      <c r="C71" s="9"/>
      <c r="D71" s="9"/>
    </row>
    <row r="72" spans="2:4" x14ac:dyDescent="0.2">
      <c r="B72" s="14"/>
      <c r="C72" s="9"/>
      <c r="D72" s="9"/>
    </row>
    <row r="73" spans="2:4" x14ac:dyDescent="0.2">
      <c r="B73" s="14"/>
      <c r="C73" s="9"/>
      <c r="D73" s="9"/>
    </row>
    <row r="74" spans="2:4" x14ac:dyDescent="0.2">
      <c r="B74" s="14"/>
      <c r="C74" s="9"/>
      <c r="D74" s="9"/>
    </row>
    <row r="75" spans="2:4" x14ac:dyDescent="0.2">
      <c r="B75" s="14"/>
      <c r="C75" s="9"/>
      <c r="D75" s="9"/>
    </row>
    <row r="76" spans="2:4" x14ac:dyDescent="0.2">
      <c r="B76" s="14"/>
      <c r="C76" s="9"/>
      <c r="D76" s="9"/>
    </row>
    <row r="77" spans="2:4" x14ac:dyDescent="0.2">
      <c r="B77" s="14"/>
      <c r="C77" s="9"/>
      <c r="D77" s="9"/>
    </row>
    <row r="78" spans="2:4" x14ac:dyDescent="0.2">
      <c r="B78" s="14"/>
      <c r="C78" s="9"/>
      <c r="D78" s="9"/>
    </row>
    <row r="79" spans="2:4" x14ac:dyDescent="0.2">
      <c r="B79" s="14"/>
      <c r="C79" s="9"/>
      <c r="D79" s="9"/>
    </row>
    <row r="80" spans="2:4" x14ac:dyDescent="0.2">
      <c r="B80" s="14"/>
      <c r="C80" s="9"/>
      <c r="D80" s="9"/>
    </row>
    <row r="81" spans="2:4" x14ac:dyDescent="0.2">
      <c r="B81" s="14"/>
      <c r="C81" s="9"/>
      <c r="D81" s="9"/>
    </row>
    <row r="82" spans="2:4" x14ac:dyDescent="0.2">
      <c r="B82" s="14"/>
      <c r="C82" s="9"/>
      <c r="D82" s="9"/>
    </row>
    <row r="83" spans="2:4" x14ac:dyDescent="0.2">
      <c r="B83" s="14"/>
      <c r="C83" s="9"/>
      <c r="D83" s="9"/>
    </row>
    <row r="84" spans="2:4" x14ac:dyDescent="0.2">
      <c r="B84" s="14"/>
      <c r="C84" s="9"/>
      <c r="D84" s="9"/>
    </row>
    <row r="85" spans="2:4" x14ac:dyDescent="0.2">
      <c r="B85" s="14"/>
      <c r="C85" s="9"/>
      <c r="D85" s="9"/>
    </row>
    <row r="86" spans="2:4" x14ac:dyDescent="0.2">
      <c r="B86" s="14"/>
      <c r="C86" s="9"/>
      <c r="D86" s="9"/>
    </row>
    <row r="87" spans="2:4" x14ac:dyDescent="0.2">
      <c r="B87" s="14"/>
      <c r="C87" s="9"/>
      <c r="D87" s="9"/>
    </row>
    <row r="88" spans="2:4" x14ac:dyDescent="0.2">
      <c r="B88" s="14"/>
      <c r="C88" s="9"/>
      <c r="D88" s="9"/>
    </row>
    <row r="89" spans="2:4" x14ac:dyDescent="0.2">
      <c r="B89" s="14"/>
      <c r="C89" s="9"/>
      <c r="D89" s="9"/>
    </row>
    <row r="90" spans="2:4" x14ac:dyDescent="0.2">
      <c r="B90" s="14"/>
      <c r="C90" s="9"/>
      <c r="D90" s="9"/>
    </row>
    <row r="91" spans="2:4" x14ac:dyDescent="0.2">
      <c r="B91" s="14"/>
      <c r="C91" s="9"/>
      <c r="D91" s="9"/>
    </row>
    <row r="92" spans="2:4" x14ac:dyDescent="0.2">
      <c r="B92" s="14"/>
      <c r="C92" s="9"/>
      <c r="D92" s="9"/>
    </row>
    <row r="93" spans="2:4" x14ac:dyDescent="0.2">
      <c r="B93" s="14"/>
      <c r="C93" s="9"/>
      <c r="D93" s="9"/>
    </row>
    <row r="94" spans="2:4" x14ac:dyDescent="0.2">
      <c r="B94" s="14"/>
      <c r="C94" s="9"/>
      <c r="D94" s="9"/>
    </row>
    <row r="95" spans="2:4" x14ac:dyDescent="0.2">
      <c r="B95" s="14"/>
      <c r="C95" s="9"/>
      <c r="D95" s="9"/>
    </row>
    <row r="96" spans="2:4" x14ac:dyDescent="0.2">
      <c r="B96" s="14"/>
      <c r="C96" s="9"/>
      <c r="D96" s="9"/>
    </row>
    <row r="97" spans="2:4" x14ac:dyDescent="0.2">
      <c r="B97" s="14"/>
      <c r="C97" s="9"/>
      <c r="D97" s="9"/>
    </row>
    <row r="98" spans="2:4" x14ac:dyDescent="0.2">
      <c r="B98" s="14"/>
      <c r="C98" s="9"/>
      <c r="D98" s="9"/>
    </row>
    <row r="99" spans="2:4" x14ac:dyDescent="0.2">
      <c r="B99" s="14"/>
      <c r="C99" s="9"/>
      <c r="D99" s="9"/>
    </row>
    <row r="100" spans="2:4" x14ac:dyDescent="0.2">
      <c r="B100" s="14"/>
      <c r="C100" s="9"/>
      <c r="D100" s="9"/>
    </row>
    <row r="101" spans="2:4" x14ac:dyDescent="0.2">
      <c r="B101" s="14"/>
      <c r="C101" s="9"/>
      <c r="D101" s="9"/>
    </row>
    <row r="102" spans="2:4" x14ac:dyDescent="0.2">
      <c r="B102" s="14"/>
      <c r="C102" s="9"/>
      <c r="D102" s="9"/>
    </row>
    <row r="103" spans="2:4" x14ac:dyDescent="0.2">
      <c r="B103" s="14"/>
      <c r="C103" s="9"/>
      <c r="D103" s="9"/>
    </row>
    <row r="104" spans="2:4" x14ac:dyDescent="0.2">
      <c r="B104" s="14"/>
      <c r="C104" s="9"/>
      <c r="D104" s="9"/>
    </row>
    <row r="105" spans="2:4" x14ac:dyDescent="0.2">
      <c r="B105" s="14"/>
      <c r="C105" s="9"/>
      <c r="D105" s="9"/>
    </row>
    <row r="106" spans="2:4" x14ac:dyDescent="0.2">
      <c r="C106" s="9"/>
      <c r="D106" s="9"/>
    </row>
    <row r="107" spans="2:4" x14ac:dyDescent="0.2">
      <c r="C107" s="9"/>
      <c r="D107" s="9"/>
    </row>
    <row r="108" spans="2:4" x14ac:dyDescent="0.2">
      <c r="C108" s="9"/>
      <c r="D108" s="9"/>
    </row>
    <row r="109" spans="2:4" x14ac:dyDescent="0.2">
      <c r="C109" s="9"/>
      <c r="D109" s="9"/>
    </row>
    <row r="110" spans="2:4" x14ac:dyDescent="0.2">
      <c r="C110" s="9"/>
      <c r="D110" s="9"/>
    </row>
    <row r="111" spans="2:4" x14ac:dyDescent="0.2">
      <c r="C111" s="9"/>
      <c r="D111" s="9"/>
    </row>
    <row r="112" spans="2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honeticPr fontId="7" type="noConversion"/>
  <hyperlinks>
    <hyperlink ref="H63505" r:id="rId1" display="http://vsolj.cetus-net.org/bulletin.html"/>
    <hyperlink ref="H63498" r:id="rId2" display="https://www.aavso.org/ejaavso"/>
    <hyperlink ref="I63505" r:id="rId3" display="http://vsolj.cetus-net.org/bulletin.html"/>
    <hyperlink ref="AQ57156" r:id="rId4" display="http://cdsbib.u-strasbg.fr/cgi-bin/cdsbib?1990RMxAA..21..381G"/>
    <hyperlink ref="H63502" r:id="rId5" display="https://www.aavso.org/ejaavso"/>
    <hyperlink ref="AP4520" r:id="rId6" display="http://cdsbib.u-strasbg.fr/cgi-bin/cdsbib?1990RMxAA..21..381G"/>
    <hyperlink ref="AP4523" r:id="rId7" display="http://cdsbib.u-strasbg.fr/cgi-bin/cdsbib?1990RMxAA..21..381G"/>
    <hyperlink ref="AP4521" r:id="rId8" display="http://cdsbib.u-strasbg.fr/cgi-bin/cdsbib?1990RMxAA..21..381G"/>
    <hyperlink ref="AP4505" r:id="rId9" display="http://cdsbib.u-strasbg.fr/cgi-bin/cdsbib?1990RMxAA..21..381G"/>
    <hyperlink ref="AQ4734" r:id="rId10" display="http://cdsbib.u-strasbg.fr/cgi-bin/cdsbib?1990RMxAA..21..381G"/>
    <hyperlink ref="AQ4738" r:id="rId11" display="http://cdsbib.u-strasbg.fr/cgi-bin/cdsbib?1990RMxAA..21..381G"/>
    <hyperlink ref="AQ64418" r:id="rId12" display="http://cdsbib.u-strasbg.fr/cgi-bin/cdsbib?1990RMxAA..21..381G"/>
    <hyperlink ref="I1626" r:id="rId13" display="http://vsolj.cetus-net.org/bulletin.html"/>
    <hyperlink ref="H1626" r:id="rId14" display="http://vsolj.cetus-net.org/bulletin.html"/>
    <hyperlink ref="AQ65079" r:id="rId15" display="http://cdsbib.u-strasbg.fr/cgi-bin/cdsbib?1990RMxAA..21..381G"/>
    <hyperlink ref="AQ65078" r:id="rId16" display="http://cdsbib.u-strasbg.fr/cgi-bin/cdsbib?1990RMxAA..21..381G"/>
    <hyperlink ref="AP2796" r:id="rId17" display="http://cdsbib.u-strasbg.fr/cgi-bin/cdsbib?1990RMxAA..21..381G"/>
    <hyperlink ref="AP2814" r:id="rId18" display="http://cdsbib.u-strasbg.fr/cgi-bin/cdsbib?1990RMxAA..21..381G"/>
    <hyperlink ref="AP2815" r:id="rId19" display="http://cdsbib.u-strasbg.fr/cgi-bin/cdsbib?1990RMxAA..21..381G"/>
    <hyperlink ref="AP281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3"/>
  <sheetViews>
    <sheetView topLeftCell="A7" workbookViewId="0">
      <selection activeCell="A29" sqref="A29:C47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60</v>
      </c>
      <c r="I1" s="38" t="s">
        <v>61</v>
      </c>
      <c r="J1" s="39" t="s">
        <v>62</v>
      </c>
    </row>
    <row r="2" spans="1:16" x14ac:dyDescent="0.2">
      <c r="I2" s="40" t="s">
        <v>63</v>
      </c>
      <c r="J2" s="41" t="s">
        <v>64</v>
      </c>
    </row>
    <row r="3" spans="1:16" x14ac:dyDescent="0.2">
      <c r="A3" s="42" t="s">
        <v>65</v>
      </c>
      <c r="I3" s="40" t="s">
        <v>66</v>
      </c>
      <c r="J3" s="41" t="s">
        <v>67</v>
      </c>
    </row>
    <row r="4" spans="1:16" x14ac:dyDescent="0.2">
      <c r="I4" s="40" t="s">
        <v>68</v>
      </c>
      <c r="J4" s="41" t="s">
        <v>67</v>
      </c>
    </row>
    <row r="5" spans="1:16" ht="13.5" thickBot="1" x14ac:dyDescent="0.25">
      <c r="I5" s="43" t="s">
        <v>69</v>
      </c>
      <c r="J5" s="44" t="s">
        <v>70</v>
      </c>
    </row>
    <row r="10" spans="1:16" ht="13.5" thickBot="1" x14ac:dyDescent="0.25"/>
    <row r="11" spans="1:16" ht="12.75" customHeight="1" thickBot="1" x14ac:dyDescent="0.25">
      <c r="A11" s="9" t="str">
        <f t="shared" ref="A11:A47" si="0">P11</f>
        <v> BBS 10 </v>
      </c>
      <c r="B11" s="14" t="str">
        <f t="shared" ref="B11:B47" si="1">IF(H11=INT(H11),"I","II")</f>
        <v>I</v>
      </c>
      <c r="C11" s="9">
        <f t="shared" ref="C11:C47" si="2">1*G11</f>
        <v>41850.555999999997</v>
      </c>
      <c r="D11" s="12" t="str">
        <f t="shared" ref="D11:D47" si="3">VLOOKUP(F11,I$1:J$5,2,FALSE)</f>
        <v>vis</v>
      </c>
      <c r="E11" s="45">
        <f>VLOOKUP(C11,Active!C$21:E$973,3,FALSE)</f>
        <v>-178.00216331422041</v>
      </c>
      <c r="F11" s="14" t="s">
        <v>69</v>
      </c>
      <c r="G11" s="12" t="str">
        <f t="shared" ref="G11:G47" si="4">MID(I11,3,LEN(I11)-3)</f>
        <v>41850.556</v>
      </c>
      <c r="H11" s="9">
        <f t="shared" ref="H11:H47" si="5">1*K11</f>
        <v>-178</v>
      </c>
      <c r="I11" s="46" t="s">
        <v>142</v>
      </c>
      <c r="J11" s="47" t="s">
        <v>143</v>
      </c>
      <c r="K11" s="46">
        <v>-178</v>
      </c>
      <c r="L11" s="46" t="s">
        <v>101</v>
      </c>
      <c r="M11" s="47" t="s">
        <v>87</v>
      </c>
      <c r="N11" s="47"/>
      <c r="O11" s="48" t="s">
        <v>144</v>
      </c>
      <c r="P11" s="48" t="s">
        <v>145</v>
      </c>
    </row>
    <row r="12" spans="1:16" ht="12.75" customHeight="1" thickBot="1" x14ac:dyDescent="0.25">
      <c r="A12" s="9" t="str">
        <f t="shared" si="0"/>
        <v>IBVS 1800 </v>
      </c>
      <c r="B12" s="14" t="str">
        <f t="shared" si="1"/>
        <v>I</v>
      </c>
      <c r="C12" s="9">
        <f t="shared" si="2"/>
        <v>41903.69</v>
      </c>
      <c r="D12" s="12" t="str">
        <f t="shared" si="3"/>
        <v>vis</v>
      </c>
      <c r="E12" s="45">
        <f>VLOOKUP(C12,Active!C$21:E$973,3,FALSE)</f>
        <v>-173.00018168826992</v>
      </c>
      <c r="F12" s="14" t="s">
        <v>69</v>
      </c>
      <c r="G12" s="12" t="str">
        <f t="shared" si="4"/>
        <v>41903.690</v>
      </c>
      <c r="H12" s="9">
        <f t="shared" si="5"/>
        <v>-173</v>
      </c>
      <c r="I12" s="46" t="s">
        <v>146</v>
      </c>
      <c r="J12" s="47" t="s">
        <v>147</v>
      </c>
      <c r="K12" s="46">
        <v>-173</v>
      </c>
      <c r="L12" s="46" t="s">
        <v>148</v>
      </c>
      <c r="M12" s="47" t="s">
        <v>121</v>
      </c>
      <c r="N12" s="47" t="s">
        <v>122</v>
      </c>
      <c r="O12" s="48" t="s">
        <v>149</v>
      </c>
      <c r="P12" s="49" t="s">
        <v>150</v>
      </c>
    </row>
    <row r="13" spans="1:16" ht="12.75" customHeight="1" thickBot="1" x14ac:dyDescent="0.25">
      <c r="A13" s="9" t="str">
        <f t="shared" si="0"/>
        <v> BBS 17 </v>
      </c>
      <c r="B13" s="14" t="str">
        <f t="shared" si="1"/>
        <v>I</v>
      </c>
      <c r="C13" s="9">
        <f t="shared" si="2"/>
        <v>42275.500999999997</v>
      </c>
      <c r="D13" s="12" t="str">
        <f t="shared" si="3"/>
        <v>vis</v>
      </c>
      <c r="E13" s="45">
        <f>VLOOKUP(C13,Active!C$21:E$973,3,FALSE)</f>
        <v>-137.99826595962048</v>
      </c>
      <c r="F13" s="14" t="s">
        <v>69</v>
      </c>
      <c r="G13" s="12" t="str">
        <f t="shared" si="4"/>
        <v>42275.501</v>
      </c>
      <c r="H13" s="9">
        <f t="shared" si="5"/>
        <v>-138</v>
      </c>
      <c r="I13" s="46" t="s">
        <v>151</v>
      </c>
      <c r="J13" s="47" t="s">
        <v>152</v>
      </c>
      <c r="K13" s="46">
        <v>-138</v>
      </c>
      <c r="L13" s="46" t="s">
        <v>153</v>
      </c>
      <c r="M13" s="47" t="s">
        <v>87</v>
      </c>
      <c r="N13" s="47"/>
      <c r="O13" s="48" t="s">
        <v>144</v>
      </c>
      <c r="P13" s="48" t="s">
        <v>154</v>
      </c>
    </row>
    <row r="14" spans="1:16" ht="12.75" customHeight="1" thickBot="1" x14ac:dyDescent="0.25">
      <c r="A14" s="9" t="str">
        <f t="shared" si="0"/>
        <v> VSSC 58.18 </v>
      </c>
      <c r="B14" s="14" t="str">
        <f t="shared" si="1"/>
        <v>I</v>
      </c>
      <c r="C14" s="9">
        <f t="shared" si="2"/>
        <v>43401.514999999999</v>
      </c>
      <c r="D14" s="12" t="str">
        <f t="shared" si="3"/>
        <v>vis</v>
      </c>
      <c r="E14" s="45">
        <f>VLOOKUP(C14,Active!C$21:E$973,3,FALSE)</f>
        <v>-31.996434014680226</v>
      </c>
      <c r="F14" s="14" t="s">
        <v>69</v>
      </c>
      <c r="G14" s="12" t="str">
        <f t="shared" si="4"/>
        <v>43401.515</v>
      </c>
      <c r="H14" s="9">
        <f t="shared" si="5"/>
        <v>-32</v>
      </c>
      <c r="I14" s="46" t="s">
        <v>155</v>
      </c>
      <c r="J14" s="47" t="s">
        <v>156</v>
      </c>
      <c r="K14" s="46">
        <v>-32</v>
      </c>
      <c r="L14" s="46" t="s">
        <v>157</v>
      </c>
      <c r="M14" s="47" t="s">
        <v>87</v>
      </c>
      <c r="N14" s="47"/>
      <c r="O14" s="48" t="s">
        <v>158</v>
      </c>
      <c r="P14" s="48" t="s">
        <v>159</v>
      </c>
    </row>
    <row r="15" spans="1:16" ht="12.75" customHeight="1" thickBot="1" x14ac:dyDescent="0.25">
      <c r="A15" s="9" t="str">
        <f t="shared" si="0"/>
        <v> VSSC 58.18 </v>
      </c>
      <c r="B15" s="14" t="str">
        <f t="shared" si="1"/>
        <v>I</v>
      </c>
      <c r="C15" s="9">
        <f t="shared" si="2"/>
        <v>43741.425999999999</v>
      </c>
      <c r="D15" s="12" t="str">
        <f t="shared" si="3"/>
        <v>vis</v>
      </c>
      <c r="E15" s="45">
        <f>VLOOKUP(C15,Active!C$21:E$973,3,FALSE)</f>
        <v>2.4476139997892171E-3</v>
      </c>
      <c r="F15" s="14" t="s">
        <v>69</v>
      </c>
      <c r="G15" s="12" t="str">
        <f t="shared" si="4"/>
        <v>43741.426</v>
      </c>
      <c r="H15" s="9">
        <f t="shared" si="5"/>
        <v>0</v>
      </c>
      <c r="I15" s="46" t="s">
        <v>160</v>
      </c>
      <c r="J15" s="47" t="s">
        <v>161</v>
      </c>
      <c r="K15" s="46">
        <v>0</v>
      </c>
      <c r="L15" s="46" t="s">
        <v>162</v>
      </c>
      <c r="M15" s="47" t="s">
        <v>87</v>
      </c>
      <c r="N15" s="47"/>
      <c r="O15" s="48" t="s">
        <v>158</v>
      </c>
      <c r="P15" s="48" t="s">
        <v>159</v>
      </c>
    </row>
    <row r="16" spans="1:16" ht="12.75" customHeight="1" thickBot="1" x14ac:dyDescent="0.25">
      <c r="A16" s="9" t="str">
        <f t="shared" si="0"/>
        <v> BBS 38 </v>
      </c>
      <c r="B16" s="14" t="str">
        <f t="shared" si="1"/>
        <v>I</v>
      </c>
      <c r="C16" s="9">
        <f t="shared" si="2"/>
        <v>43741.453000000001</v>
      </c>
      <c r="D16" s="12" t="str">
        <f t="shared" si="3"/>
        <v>vis</v>
      </c>
      <c r="E16" s="45">
        <f>VLOOKUP(C16,Active!C$21:E$973,3,FALSE)</f>
        <v>4.9893669999391465E-3</v>
      </c>
      <c r="F16" s="14" t="s">
        <v>69</v>
      </c>
      <c r="G16" s="12" t="str">
        <f t="shared" si="4"/>
        <v>43741.453</v>
      </c>
      <c r="H16" s="9">
        <f t="shared" si="5"/>
        <v>0</v>
      </c>
      <c r="I16" s="46" t="s">
        <v>163</v>
      </c>
      <c r="J16" s="47" t="s">
        <v>164</v>
      </c>
      <c r="K16" s="46">
        <v>0</v>
      </c>
      <c r="L16" s="46" t="s">
        <v>92</v>
      </c>
      <c r="M16" s="47" t="s">
        <v>87</v>
      </c>
      <c r="N16" s="47"/>
      <c r="O16" s="48" t="s">
        <v>144</v>
      </c>
      <c r="P16" s="48" t="s">
        <v>165</v>
      </c>
    </row>
    <row r="17" spans="1:16" ht="12.75" customHeight="1" thickBot="1" x14ac:dyDescent="0.25">
      <c r="A17" s="9" t="str">
        <f t="shared" si="0"/>
        <v> VSSC 59.19 </v>
      </c>
      <c r="B17" s="14" t="str">
        <f t="shared" si="1"/>
        <v>I</v>
      </c>
      <c r="C17" s="9">
        <f t="shared" si="2"/>
        <v>44166.351000000002</v>
      </c>
      <c r="D17" s="12" t="str">
        <f t="shared" si="3"/>
        <v>vis</v>
      </c>
      <c r="E17" s="45">
        <f>VLOOKUP(C17,Active!C$21:E$973,3,FALSE)</f>
        <v>40.004462188600037</v>
      </c>
      <c r="F17" s="14" t="s">
        <v>69</v>
      </c>
      <c r="G17" s="12" t="str">
        <f t="shared" si="4"/>
        <v>44166.351</v>
      </c>
      <c r="H17" s="9">
        <f t="shared" si="5"/>
        <v>40</v>
      </c>
      <c r="I17" s="46" t="s">
        <v>166</v>
      </c>
      <c r="J17" s="47" t="s">
        <v>167</v>
      </c>
      <c r="K17" s="46">
        <v>40</v>
      </c>
      <c r="L17" s="46" t="s">
        <v>168</v>
      </c>
      <c r="M17" s="47" t="s">
        <v>87</v>
      </c>
      <c r="N17" s="47"/>
      <c r="O17" s="48" t="s">
        <v>158</v>
      </c>
      <c r="P17" s="48" t="s">
        <v>169</v>
      </c>
    </row>
    <row r="18" spans="1:16" ht="12.75" customHeight="1" thickBot="1" x14ac:dyDescent="0.25">
      <c r="A18" s="9" t="str">
        <f t="shared" si="0"/>
        <v> ASS 189.309 </v>
      </c>
      <c r="B18" s="14" t="str">
        <f t="shared" si="1"/>
        <v>I</v>
      </c>
      <c r="C18" s="9">
        <f t="shared" si="2"/>
        <v>44867.398500000003</v>
      </c>
      <c r="D18" s="12" t="str">
        <f t="shared" si="3"/>
        <v>vis</v>
      </c>
      <c r="E18" s="45">
        <f>VLOOKUP(C18,Active!C$21:E$973,3,FALSE)</f>
        <v>106.00037279044014</v>
      </c>
      <c r="F18" s="14" t="s">
        <v>69</v>
      </c>
      <c r="G18" s="12" t="str">
        <f t="shared" si="4"/>
        <v>44867.3985</v>
      </c>
      <c r="H18" s="9">
        <f t="shared" si="5"/>
        <v>106</v>
      </c>
      <c r="I18" s="46" t="s">
        <v>170</v>
      </c>
      <c r="J18" s="47" t="s">
        <v>171</v>
      </c>
      <c r="K18" s="46">
        <v>106</v>
      </c>
      <c r="L18" s="46" t="s">
        <v>172</v>
      </c>
      <c r="M18" s="47" t="s">
        <v>87</v>
      </c>
      <c r="N18" s="47"/>
      <c r="O18" s="48" t="s">
        <v>173</v>
      </c>
      <c r="P18" s="48" t="s">
        <v>174</v>
      </c>
    </row>
    <row r="19" spans="1:16" ht="12.75" customHeight="1" thickBot="1" x14ac:dyDescent="0.25">
      <c r="A19" s="9" t="str">
        <f t="shared" si="0"/>
        <v>BAVM 52 </v>
      </c>
      <c r="B19" s="14" t="str">
        <f t="shared" si="1"/>
        <v>I</v>
      </c>
      <c r="C19" s="9">
        <f t="shared" si="2"/>
        <v>46354.512000000002</v>
      </c>
      <c r="D19" s="12" t="str">
        <f t="shared" si="3"/>
        <v>vis</v>
      </c>
      <c r="E19" s="45">
        <f>VLOOKUP(C19,Active!C$21:E$973,3,FALSE)</f>
        <v>245.99575056554013</v>
      </c>
      <c r="F19" s="14" t="s">
        <v>69</v>
      </c>
      <c r="G19" s="12" t="str">
        <f t="shared" si="4"/>
        <v>46354.512</v>
      </c>
      <c r="H19" s="9">
        <f t="shared" si="5"/>
        <v>246</v>
      </c>
      <c r="I19" s="46" t="s">
        <v>175</v>
      </c>
      <c r="J19" s="47" t="s">
        <v>176</v>
      </c>
      <c r="K19" s="46">
        <v>246</v>
      </c>
      <c r="L19" s="46" t="s">
        <v>177</v>
      </c>
      <c r="M19" s="47" t="s">
        <v>87</v>
      </c>
      <c r="N19" s="47"/>
      <c r="O19" s="48" t="s">
        <v>178</v>
      </c>
      <c r="P19" s="49" t="s">
        <v>179</v>
      </c>
    </row>
    <row r="20" spans="1:16" ht="12.75" customHeight="1" thickBot="1" x14ac:dyDescent="0.25">
      <c r="A20" s="9" t="str">
        <f t="shared" si="0"/>
        <v>BAVM 46 </v>
      </c>
      <c r="B20" s="14" t="str">
        <f t="shared" si="1"/>
        <v>I</v>
      </c>
      <c r="C20" s="9">
        <f t="shared" si="2"/>
        <v>46694.455000000002</v>
      </c>
      <c r="D20" s="12" t="str">
        <f t="shared" si="3"/>
        <v>vis</v>
      </c>
      <c r="E20" s="45">
        <f>VLOOKUP(C20,Active!C$21:E$973,3,FALSE)</f>
        <v>277.99764464222005</v>
      </c>
      <c r="F20" s="14" t="s">
        <v>69</v>
      </c>
      <c r="G20" s="12" t="str">
        <f t="shared" si="4"/>
        <v>46694.455</v>
      </c>
      <c r="H20" s="9">
        <f t="shared" si="5"/>
        <v>278</v>
      </c>
      <c r="I20" s="46" t="s">
        <v>180</v>
      </c>
      <c r="J20" s="47" t="s">
        <v>181</v>
      </c>
      <c r="K20" s="46">
        <v>278</v>
      </c>
      <c r="L20" s="46" t="s">
        <v>182</v>
      </c>
      <c r="M20" s="47" t="s">
        <v>87</v>
      </c>
      <c r="N20" s="47"/>
      <c r="O20" s="48" t="s">
        <v>183</v>
      </c>
      <c r="P20" s="49" t="s">
        <v>184</v>
      </c>
    </row>
    <row r="21" spans="1:16" ht="12.75" customHeight="1" thickBot="1" x14ac:dyDescent="0.25">
      <c r="A21" s="9" t="str">
        <f t="shared" si="0"/>
        <v> ASS 189.309 </v>
      </c>
      <c r="B21" s="14" t="str">
        <f t="shared" si="1"/>
        <v>I</v>
      </c>
      <c r="C21" s="9">
        <f t="shared" si="2"/>
        <v>47735.500500000002</v>
      </c>
      <c r="D21" s="12" t="str">
        <f t="shared" si="3"/>
        <v>vis</v>
      </c>
      <c r="E21" s="45">
        <f>VLOOKUP(C21,Active!C$21:E$973,3,FALSE)</f>
        <v>376.00062696574003</v>
      </c>
      <c r="F21" s="14" t="s">
        <v>69</v>
      </c>
      <c r="G21" s="12" t="str">
        <f t="shared" si="4"/>
        <v>47735.5005</v>
      </c>
      <c r="H21" s="9">
        <f t="shared" si="5"/>
        <v>376</v>
      </c>
      <c r="I21" s="46" t="s">
        <v>185</v>
      </c>
      <c r="J21" s="47" t="s">
        <v>186</v>
      </c>
      <c r="K21" s="46">
        <v>376</v>
      </c>
      <c r="L21" s="46" t="s">
        <v>187</v>
      </c>
      <c r="M21" s="47" t="s">
        <v>87</v>
      </c>
      <c r="N21" s="47"/>
      <c r="O21" s="48" t="s">
        <v>173</v>
      </c>
      <c r="P21" s="48" t="s">
        <v>174</v>
      </c>
    </row>
    <row r="22" spans="1:16" ht="12.75" customHeight="1" thickBot="1" x14ac:dyDescent="0.25">
      <c r="A22" s="9" t="str">
        <f t="shared" si="0"/>
        <v>BAVM 59 </v>
      </c>
      <c r="B22" s="14" t="str">
        <f t="shared" si="1"/>
        <v>I</v>
      </c>
      <c r="C22" s="9">
        <f t="shared" si="2"/>
        <v>48128.542000000001</v>
      </c>
      <c r="D22" s="12" t="str">
        <f t="shared" si="3"/>
        <v>vis</v>
      </c>
      <c r="E22" s="45">
        <f>VLOOKUP(C22,Active!C$21:E$973,3,FALSE)</f>
        <v>413.00116073386994</v>
      </c>
      <c r="F22" s="14" t="s">
        <v>69</v>
      </c>
      <c r="G22" s="12" t="str">
        <f t="shared" si="4"/>
        <v>48128.542</v>
      </c>
      <c r="H22" s="9">
        <f t="shared" si="5"/>
        <v>413</v>
      </c>
      <c r="I22" s="46" t="s">
        <v>193</v>
      </c>
      <c r="J22" s="47" t="s">
        <v>194</v>
      </c>
      <c r="K22" s="46">
        <v>413</v>
      </c>
      <c r="L22" s="46" t="s">
        <v>195</v>
      </c>
      <c r="M22" s="47" t="s">
        <v>87</v>
      </c>
      <c r="N22" s="47"/>
      <c r="O22" s="48" t="s">
        <v>196</v>
      </c>
      <c r="P22" s="49" t="s">
        <v>197</v>
      </c>
    </row>
    <row r="23" spans="1:16" ht="12.75" customHeight="1" thickBot="1" x14ac:dyDescent="0.25">
      <c r="A23" s="9" t="str">
        <f t="shared" si="0"/>
        <v>BAVM 111 </v>
      </c>
      <c r="B23" s="14" t="str">
        <f t="shared" si="1"/>
        <v>I</v>
      </c>
      <c r="C23" s="9">
        <f t="shared" si="2"/>
        <v>50720.451500000003</v>
      </c>
      <c r="D23" s="12" t="str">
        <f t="shared" si="3"/>
        <v>vis</v>
      </c>
      <c r="E23" s="45">
        <f>VLOOKUP(C23,Active!C$21:E$973,3,FALSE)</f>
        <v>657.00092915193011</v>
      </c>
      <c r="F23" s="14" t="s">
        <v>69</v>
      </c>
      <c r="G23" s="12" t="str">
        <f t="shared" si="4"/>
        <v>50720.4515</v>
      </c>
      <c r="H23" s="9">
        <f t="shared" si="5"/>
        <v>657</v>
      </c>
      <c r="I23" s="46" t="s">
        <v>198</v>
      </c>
      <c r="J23" s="47" t="s">
        <v>199</v>
      </c>
      <c r="K23" s="46">
        <v>657</v>
      </c>
      <c r="L23" s="46" t="s">
        <v>200</v>
      </c>
      <c r="M23" s="47" t="s">
        <v>121</v>
      </c>
      <c r="N23" s="47" t="s">
        <v>201</v>
      </c>
      <c r="O23" s="48" t="s">
        <v>202</v>
      </c>
      <c r="P23" s="49" t="s">
        <v>203</v>
      </c>
    </row>
    <row r="24" spans="1:16" ht="12.75" customHeight="1" thickBot="1" x14ac:dyDescent="0.25">
      <c r="A24" s="9" t="str">
        <f t="shared" si="0"/>
        <v>IBVS 6007 </v>
      </c>
      <c r="B24" s="14" t="str">
        <f t="shared" si="1"/>
        <v>I</v>
      </c>
      <c r="C24" s="9">
        <f t="shared" si="2"/>
        <v>54172.801220000001</v>
      </c>
      <c r="D24" s="12" t="str">
        <f t="shared" si="3"/>
        <v>vis</v>
      </c>
      <c r="E24" s="45">
        <f>VLOOKUP(C24,Active!C$21:E$973,3,FALSE)</f>
        <v>982.00167943975987</v>
      </c>
      <c r="F24" s="14" t="s">
        <v>69</v>
      </c>
      <c r="G24" s="12" t="str">
        <f t="shared" si="4"/>
        <v>54172.80122</v>
      </c>
      <c r="H24" s="9">
        <f t="shared" si="5"/>
        <v>982</v>
      </c>
      <c r="I24" s="46" t="s">
        <v>215</v>
      </c>
      <c r="J24" s="47" t="s">
        <v>216</v>
      </c>
      <c r="K24" s="46" t="s">
        <v>217</v>
      </c>
      <c r="L24" s="46" t="s">
        <v>218</v>
      </c>
      <c r="M24" s="47" t="s">
        <v>219</v>
      </c>
      <c r="N24" s="47" t="s">
        <v>69</v>
      </c>
      <c r="O24" s="48" t="s">
        <v>220</v>
      </c>
      <c r="P24" s="49" t="s">
        <v>221</v>
      </c>
    </row>
    <row r="25" spans="1:16" ht="12.75" customHeight="1" thickBot="1" x14ac:dyDescent="0.25">
      <c r="A25" s="9" t="str">
        <f t="shared" si="0"/>
        <v>IBVS 6007 </v>
      </c>
      <c r="B25" s="14" t="str">
        <f t="shared" si="1"/>
        <v>I</v>
      </c>
      <c r="C25" s="9">
        <f t="shared" si="2"/>
        <v>54364.00387</v>
      </c>
      <c r="D25" s="12" t="str">
        <f t="shared" si="3"/>
        <v>vis</v>
      </c>
      <c r="E25" s="45">
        <f>VLOOKUP(C25,Active!C$21:E$973,3,FALSE)</f>
        <v>1000.0013057079299</v>
      </c>
      <c r="F25" s="14" t="s">
        <v>69</v>
      </c>
      <c r="G25" s="12" t="str">
        <f t="shared" si="4"/>
        <v>54364.00387</v>
      </c>
      <c r="H25" s="9">
        <f t="shared" si="5"/>
        <v>1000</v>
      </c>
      <c r="I25" s="46" t="s">
        <v>222</v>
      </c>
      <c r="J25" s="47" t="s">
        <v>223</v>
      </c>
      <c r="K25" s="46" t="s">
        <v>224</v>
      </c>
      <c r="L25" s="46" t="s">
        <v>225</v>
      </c>
      <c r="M25" s="47" t="s">
        <v>219</v>
      </c>
      <c r="N25" s="47" t="s">
        <v>61</v>
      </c>
      <c r="O25" s="48" t="s">
        <v>220</v>
      </c>
      <c r="P25" s="49" t="s">
        <v>221</v>
      </c>
    </row>
    <row r="26" spans="1:16" ht="12.75" customHeight="1" thickBot="1" x14ac:dyDescent="0.25">
      <c r="A26" s="9" t="str">
        <f t="shared" si="0"/>
        <v>IBVS 6007 </v>
      </c>
      <c r="B26" s="14" t="str">
        <f t="shared" si="1"/>
        <v>I</v>
      </c>
      <c r="C26" s="9">
        <f t="shared" si="2"/>
        <v>55394.400880000001</v>
      </c>
      <c r="D26" s="12" t="str">
        <f t="shared" si="3"/>
        <v>vis</v>
      </c>
      <c r="E26" s="45">
        <f>VLOOKUP(C26,Active!C$21:E$973,3,FALSE)</f>
        <v>1097.0018498313498</v>
      </c>
      <c r="F26" s="14" t="s">
        <v>69</v>
      </c>
      <c r="G26" s="12" t="str">
        <f t="shared" si="4"/>
        <v>55394.40088</v>
      </c>
      <c r="H26" s="9">
        <f t="shared" si="5"/>
        <v>1097</v>
      </c>
      <c r="I26" s="46" t="s">
        <v>226</v>
      </c>
      <c r="J26" s="47" t="s">
        <v>227</v>
      </c>
      <c r="K26" s="46" t="s">
        <v>228</v>
      </c>
      <c r="L26" s="46" t="s">
        <v>229</v>
      </c>
      <c r="M26" s="47" t="s">
        <v>219</v>
      </c>
      <c r="N26" s="47" t="s">
        <v>230</v>
      </c>
      <c r="O26" s="48" t="s">
        <v>231</v>
      </c>
      <c r="P26" s="49" t="s">
        <v>221</v>
      </c>
    </row>
    <row r="27" spans="1:16" ht="12.75" customHeight="1" thickBot="1" x14ac:dyDescent="0.25">
      <c r="A27" s="9" t="str">
        <f t="shared" si="0"/>
        <v>BAVM 215 </v>
      </c>
      <c r="B27" s="14" t="str">
        <f t="shared" si="1"/>
        <v>I</v>
      </c>
      <c r="C27" s="9">
        <f t="shared" si="2"/>
        <v>55479.3704</v>
      </c>
      <c r="D27" s="12" t="str">
        <f t="shared" si="3"/>
        <v>vis</v>
      </c>
      <c r="E27" s="45">
        <f>VLOOKUP(C27,Active!C$21:E$973,3,FALSE)</f>
        <v>1105.0007954745497</v>
      </c>
      <c r="F27" s="14" t="s">
        <v>69</v>
      </c>
      <c r="G27" s="12" t="str">
        <f t="shared" si="4"/>
        <v>55479.3704</v>
      </c>
      <c r="H27" s="9">
        <f t="shared" si="5"/>
        <v>1105</v>
      </c>
      <c r="I27" s="46" t="s">
        <v>232</v>
      </c>
      <c r="J27" s="47" t="s">
        <v>233</v>
      </c>
      <c r="K27" s="46" t="s">
        <v>234</v>
      </c>
      <c r="L27" s="46" t="s">
        <v>235</v>
      </c>
      <c r="M27" s="47" t="s">
        <v>219</v>
      </c>
      <c r="N27" s="47" t="s">
        <v>236</v>
      </c>
      <c r="O27" s="48" t="s">
        <v>237</v>
      </c>
      <c r="P27" s="49" t="s">
        <v>238</v>
      </c>
    </row>
    <row r="28" spans="1:16" ht="12.75" customHeight="1" thickBot="1" x14ac:dyDescent="0.25">
      <c r="A28" s="9" t="str">
        <f t="shared" si="0"/>
        <v>IBVS 6114 </v>
      </c>
      <c r="B28" s="14" t="str">
        <f t="shared" si="1"/>
        <v>I</v>
      </c>
      <c r="C28" s="9">
        <f t="shared" si="2"/>
        <v>56148.599649999996</v>
      </c>
      <c r="D28" s="12" t="str">
        <f t="shared" si="3"/>
        <v>vis</v>
      </c>
      <c r="E28" s="45">
        <f>VLOOKUP(C28,Active!C$21:E$973,3,FALSE)</f>
        <v>1168.0013678396695</v>
      </c>
      <c r="F28" s="14" t="s">
        <v>69</v>
      </c>
      <c r="G28" s="12" t="str">
        <f t="shared" si="4"/>
        <v>56148.59965</v>
      </c>
      <c r="H28" s="9">
        <f t="shared" si="5"/>
        <v>1168</v>
      </c>
      <c r="I28" s="46" t="s">
        <v>239</v>
      </c>
      <c r="J28" s="47" t="s">
        <v>240</v>
      </c>
      <c r="K28" s="46" t="s">
        <v>241</v>
      </c>
      <c r="L28" s="46" t="s">
        <v>242</v>
      </c>
      <c r="M28" s="47" t="s">
        <v>219</v>
      </c>
      <c r="N28" s="47" t="s">
        <v>230</v>
      </c>
      <c r="O28" s="48" t="s">
        <v>231</v>
      </c>
      <c r="P28" s="49" t="s">
        <v>243</v>
      </c>
    </row>
    <row r="29" spans="1:16" ht="12.75" customHeight="1" thickBot="1" x14ac:dyDescent="0.25">
      <c r="A29" s="9" t="str">
        <f t="shared" si="0"/>
        <v> AN 244.300 </v>
      </c>
      <c r="B29" s="14" t="str">
        <f t="shared" si="1"/>
        <v>I</v>
      </c>
      <c r="C29" s="9">
        <f t="shared" si="2"/>
        <v>25502.447</v>
      </c>
      <c r="D29" s="12" t="str">
        <f t="shared" si="3"/>
        <v>vis</v>
      </c>
      <c r="E29" s="45">
        <f>VLOOKUP(C29,Active!C$21:E$973,3,FALSE)</f>
        <v>-1716.9967964498301</v>
      </c>
      <c r="F29" s="14" t="s">
        <v>69</v>
      </c>
      <c r="G29" s="12" t="str">
        <f t="shared" si="4"/>
        <v>25502.447</v>
      </c>
      <c r="H29" s="9">
        <f t="shared" si="5"/>
        <v>-1717</v>
      </c>
      <c r="I29" s="46" t="s">
        <v>72</v>
      </c>
      <c r="J29" s="47" t="s">
        <v>73</v>
      </c>
      <c r="K29" s="46">
        <v>-1717</v>
      </c>
      <c r="L29" s="46" t="s">
        <v>74</v>
      </c>
      <c r="M29" s="47" t="s">
        <v>75</v>
      </c>
      <c r="N29" s="47"/>
      <c r="O29" s="48" t="s">
        <v>76</v>
      </c>
      <c r="P29" s="48" t="s">
        <v>77</v>
      </c>
    </row>
    <row r="30" spans="1:16" ht="12.75" customHeight="1" thickBot="1" x14ac:dyDescent="0.25">
      <c r="A30" s="9" t="str">
        <f t="shared" si="0"/>
        <v> AN 244.300 </v>
      </c>
      <c r="B30" s="14" t="str">
        <f t="shared" si="1"/>
        <v>I</v>
      </c>
      <c r="C30" s="9">
        <f t="shared" si="2"/>
        <v>25566.281999999999</v>
      </c>
      <c r="D30" s="12" t="str">
        <f t="shared" si="3"/>
        <v>vis</v>
      </c>
      <c r="E30" s="45">
        <f>VLOOKUP(C30,Active!C$21:E$973,3,FALSE)</f>
        <v>-1710.9874333848902</v>
      </c>
      <c r="F30" s="14" t="s">
        <v>69</v>
      </c>
      <c r="G30" s="12" t="str">
        <f t="shared" si="4"/>
        <v>25566.282</v>
      </c>
      <c r="H30" s="9">
        <f t="shared" si="5"/>
        <v>-1711</v>
      </c>
      <c r="I30" s="46" t="s">
        <v>78</v>
      </c>
      <c r="J30" s="47" t="s">
        <v>79</v>
      </c>
      <c r="K30" s="46">
        <v>-1711</v>
      </c>
      <c r="L30" s="46" t="s">
        <v>80</v>
      </c>
      <c r="M30" s="47" t="s">
        <v>75</v>
      </c>
      <c r="N30" s="47"/>
      <c r="O30" s="48" t="s">
        <v>76</v>
      </c>
      <c r="P30" s="48" t="s">
        <v>77</v>
      </c>
    </row>
    <row r="31" spans="1:16" ht="12.75" customHeight="1" thickBot="1" x14ac:dyDescent="0.25">
      <c r="A31" s="9" t="str">
        <f t="shared" si="0"/>
        <v> AN 244.300 </v>
      </c>
      <c r="B31" s="14" t="str">
        <f t="shared" si="1"/>
        <v>I</v>
      </c>
      <c r="C31" s="9">
        <f t="shared" si="2"/>
        <v>26352.215</v>
      </c>
      <c r="D31" s="12" t="str">
        <f t="shared" si="3"/>
        <v>vis</v>
      </c>
      <c r="E31" s="45">
        <f>VLOOKUP(C31,Active!C$21:E$973,3,FALSE)</f>
        <v>-1637.0004866986301</v>
      </c>
      <c r="F31" s="14" t="s">
        <v>69</v>
      </c>
      <c r="G31" s="12" t="str">
        <f t="shared" si="4"/>
        <v>26352.215</v>
      </c>
      <c r="H31" s="9">
        <f t="shared" si="5"/>
        <v>-1637</v>
      </c>
      <c r="I31" s="46" t="s">
        <v>81</v>
      </c>
      <c r="J31" s="47" t="s">
        <v>82</v>
      </c>
      <c r="K31" s="46">
        <v>-1637</v>
      </c>
      <c r="L31" s="46" t="s">
        <v>83</v>
      </c>
      <c r="M31" s="47" t="s">
        <v>75</v>
      </c>
      <c r="N31" s="47"/>
      <c r="O31" s="48" t="s">
        <v>76</v>
      </c>
      <c r="P31" s="48" t="s">
        <v>77</v>
      </c>
    </row>
    <row r="32" spans="1:16" ht="12.75" customHeight="1" thickBot="1" x14ac:dyDescent="0.25">
      <c r="A32" s="9" t="str">
        <f t="shared" si="0"/>
        <v> AA 27.158 </v>
      </c>
      <c r="B32" s="14" t="str">
        <f t="shared" si="1"/>
        <v>II</v>
      </c>
      <c r="C32" s="9">
        <f t="shared" si="2"/>
        <v>26486.472000000002</v>
      </c>
      <c r="D32" s="12" t="str">
        <f t="shared" si="3"/>
        <v>vis</v>
      </c>
      <c r="E32" s="45">
        <f>VLOOKUP(C32,Active!C$21:E$973,3,FALSE)</f>
        <v>-1624.3616669757562</v>
      </c>
      <c r="F32" s="14" t="s">
        <v>69</v>
      </c>
      <c r="G32" s="12" t="str">
        <f t="shared" si="4"/>
        <v>26486.472</v>
      </c>
      <c r="H32" s="9">
        <f t="shared" si="5"/>
        <v>-1624.5</v>
      </c>
      <c r="I32" s="46" t="s">
        <v>84</v>
      </c>
      <c r="J32" s="47" t="s">
        <v>85</v>
      </c>
      <c r="K32" s="46">
        <v>-1624.5</v>
      </c>
      <c r="L32" s="46" t="s">
        <v>86</v>
      </c>
      <c r="M32" s="47" t="s">
        <v>87</v>
      </c>
      <c r="N32" s="47"/>
      <c r="O32" s="48" t="s">
        <v>88</v>
      </c>
      <c r="P32" s="48" t="s">
        <v>89</v>
      </c>
    </row>
    <row r="33" spans="1:16" ht="12.75" customHeight="1" thickBot="1" x14ac:dyDescent="0.25">
      <c r="A33" s="9" t="str">
        <f t="shared" si="0"/>
        <v> BZ 13.55 </v>
      </c>
      <c r="B33" s="14" t="str">
        <f t="shared" si="1"/>
        <v>I</v>
      </c>
      <c r="C33" s="9">
        <f t="shared" si="2"/>
        <v>26543.48</v>
      </c>
      <c r="D33" s="12" t="str">
        <f t="shared" si="3"/>
        <v>vis</v>
      </c>
      <c r="E33" s="45">
        <f>VLOOKUP(C33,Active!C$21:E$973,3,FALSE)</f>
        <v>-1618.99499086381</v>
      </c>
      <c r="F33" s="14" t="s">
        <v>69</v>
      </c>
      <c r="G33" s="12" t="str">
        <f t="shared" si="4"/>
        <v>26543.480</v>
      </c>
      <c r="H33" s="9">
        <f t="shared" si="5"/>
        <v>-1619</v>
      </c>
      <c r="I33" s="46" t="s">
        <v>90</v>
      </c>
      <c r="J33" s="47" t="s">
        <v>91</v>
      </c>
      <c r="K33" s="46">
        <v>-1619</v>
      </c>
      <c r="L33" s="46" t="s">
        <v>92</v>
      </c>
      <c r="M33" s="47" t="s">
        <v>93</v>
      </c>
      <c r="N33" s="47"/>
      <c r="O33" s="48" t="s">
        <v>94</v>
      </c>
      <c r="P33" s="48" t="s">
        <v>95</v>
      </c>
    </row>
    <row r="34" spans="1:16" ht="12.75" customHeight="1" thickBot="1" x14ac:dyDescent="0.25">
      <c r="A34" s="9" t="str">
        <f t="shared" si="0"/>
        <v> AA 27.158 </v>
      </c>
      <c r="B34" s="14" t="str">
        <f t="shared" si="1"/>
        <v>I</v>
      </c>
      <c r="C34" s="9">
        <f t="shared" si="2"/>
        <v>27690.7</v>
      </c>
      <c r="D34" s="12" t="str">
        <f t="shared" si="3"/>
        <v>vis</v>
      </c>
      <c r="E34" s="45">
        <f>VLOOKUP(C34,Active!C$21:E$973,3,FALSE)</f>
        <v>-1510.99684728489</v>
      </c>
      <c r="F34" s="14" t="s">
        <v>69</v>
      </c>
      <c r="G34" s="12" t="str">
        <f t="shared" si="4"/>
        <v>27690.700</v>
      </c>
      <c r="H34" s="9">
        <f t="shared" si="5"/>
        <v>-1511</v>
      </c>
      <c r="I34" s="46" t="s">
        <v>96</v>
      </c>
      <c r="J34" s="47" t="s">
        <v>97</v>
      </c>
      <c r="K34" s="46">
        <v>-1511</v>
      </c>
      <c r="L34" s="46" t="s">
        <v>98</v>
      </c>
      <c r="M34" s="47" t="s">
        <v>87</v>
      </c>
      <c r="N34" s="47"/>
      <c r="O34" s="48" t="s">
        <v>88</v>
      </c>
      <c r="P34" s="48" t="s">
        <v>89</v>
      </c>
    </row>
    <row r="35" spans="1:16" ht="12.75" customHeight="1" thickBot="1" x14ac:dyDescent="0.25">
      <c r="A35" s="9" t="str">
        <f t="shared" si="0"/>
        <v> HA 113.75 </v>
      </c>
      <c r="B35" s="14" t="str">
        <f t="shared" si="1"/>
        <v>I</v>
      </c>
      <c r="C35" s="9">
        <f t="shared" si="2"/>
        <v>28423.601999999999</v>
      </c>
      <c r="D35" s="12" t="str">
        <f t="shared" si="3"/>
        <v>vis</v>
      </c>
      <c r="E35" s="45">
        <f>VLOOKUP(C35,Active!C$21:E$973,3,FALSE)</f>
        <v>-1442.00218590758</v>
      </c>
      <c r="F35" s="14" t="s">
        <v>69</v>
      </c>
      <c r="G35" s="12" t="str">
        <f t="shared" si="4"/>
        <v>28423.602</v>
      </c>
      <c r="H35" s="9">
        <f t="shared" si="5"/>
        <v>-1442</v>
      </c>
      <c r="I35" s="46" t="s">
        <v>99</v>
      </c>
      <c r="J35" s="47" t="s">
        <v>100</v>
      </c>
      <c r="K35" s="46">
        <v>-1442</v>
      </c>
      <c r="L35" s="46" t="s">
        <v>101</v>
      </c>
      <c r="M35" s="47" t="s">
        <v>71</v>
      </c>
      <c r="N35" s="47"/>
      <c r="O35" s="48" t="s">
        <v>102</v>
      </c>
      <c r="P35" s="48" t="s">
        <v>103</v>
      </c>
    </row>
    <row r="36" spans="1:16" ht="12.75" customHeight="1" thickBot="1" x14ac:dyDescent="0.25">
      <c r="A36" s="9" t="str">
        <f t="shared" si="0"/>
        <v> AAC 5.194 </v>
      </c>
      <c r="B36" s="14" t="str">
        <f t="shared" si="1"/>
        <v>I</v>
      </c>
      <c r="C36" s="9">
        <f t="shared" si="2"/>
        <v>34988.44</v>
      </c>
      <c r="D36" s="12" t="str">
        <f t="shared" si="3"/>
        <v>vis</v>
      </c>
      <c r="E36" s="45">
        <f>VLOOKUP(C36,Active!C$21:E$973,3,FALSE)</f>
        <v>-823.9949014317599</v>
      </c>
      <c r="F36" s="14" t="s">
        <v>69</v>
      </c>
      <c r="G36" s="12" t="str">
        <f t="shared" si="4"/>
        <v>34988.44</v>
      </c>
      <c r="H36" s="9">
        <f t="shared" si="5"/>
        <v>-824</v>
      </c>
      <c r="I36" s="46" t="s">
        <v>104</v>
      </c>
      <c r="J36" s="47" t="s">
        <v>105</v>
      </c>
      <c r="K36" s="46">
        <v>-824</v>
      </c>
      <c r="L36" s="46" t="s">
        <v>106</v>
      </c>
      <c r="M36" s="47" t="s">
        <v>87</v>
      </c>
      <c r="N36" s="47"/>
      <c r="O36" s="48" t="s">
        <v>107</v>
      </c>
      <c r="P36" s="48" t="s">
        <v>108</v>
      </c>
    </row>
    <row r="37" spans="1:16" ht="12.75" customHeight="1" thickBot="1" x14ac:dyDescent="0.25">
      <c r="A37" s="9" t="str">
        <f t="shared" si="0"/>
        <v> MVS 3.170 </v>
      </c>
      <c r="B37" s="14" t="str">
        <f t="shared" si="1"/>
        <v>I</v>
      </c>
      <c r="C37" s="9">
        <f t="shared" si="2"/>
        <v>35721.436000000002</v>
      </c>
      <c r="D37" s="12" t="str">
        <f t="shared" si="3"/>
        <v>vis</v>
      </c>
      <c r="E37" s="45">
        <f>VLOOKUP(C37,Active!C$21:E$973,3,FALSE)</f>
        <v>-754.99139098845001</v>
      </c>
      <c r="F37" s="14" t="s">
        <v>69</v>
      </c>
      <c r="G37" s="12" t="str">
        <f t="shared" si="4"/>
        <v>35721.436</v>
      </c>
      <c r="H37" s="9">
        <f t="shared" si="5"/>
        <v>-755</v>
      </c>
      <c r="I37" s="46" t="s">
        <v>109</v>
      </c>
      <c r="J37" s="47" t="s">
        <v>110</v>
      </c>
      <c r="K37" s="46">
        <v>-755</v>
      </c>
      <c r="L37" s="46" t="s">
        <v>111</v>
      </c>
      <c r="M37" s="47" t="s">
        <v>75</v>
      </c>
      <c r="N37" s="47"/>
      <c r="O37" s="48" t="s">
        <v>112</v>
      </c>
      <c r="P37" s="48" t="s">
        <v>113</v>
      </c>
    </row>
    <row r="38" spans="1:16" ht="12.75" customHeight="1" thickBot="1" x14ac:dyDescent="0.25">
      <c r="A38" s="9" t="str">
        <f t="shared" si="0"/>
        <v> AA 10.70 </v>
      </c>
      <c r="B38" s="14" t="str">
        <f t="shared" si="1"/>
        <v>I</v>
      </c>
      <c r="C38" s="9">
        <f t="shared" si="2"/>
        <v>36762.26</v>
      </c>
      <c r="D38" s="12" t="str">
        <f t="shared" si="3"/>
        <v>vis</v>
      </c>
      <c r="E38" s="45">
        <f>VLOOKUP(C38,Active!C$21:E$973,3,FALSE)</f>
        <v>-657.00926045342976</v>
      </c>
      <c r="F38" s="14" t="s">
        <v>69</v>
      </c>
      <c r="G38" s="12" t="str">
        <f t="shared" si="4"/>
        <v>36762.26</v>
      </c>
      <c r="H38" s="9">
        <f t="shared" si="5"/>
        <v>-657</v>
      </c>
      <c r="I38" s="46" t="s">
        <v>114</v>
      </c>
      <c r="J38" s="47" t="s">
        <v>115</v>
      </c>
      <c r="K38" s="46">
        <v>-657</v>
      </c>
      <c r="L38" s="46" t="s">
        <v>116</v>
      </c>
      <c r="M38" s="47" t="s">
        <v>87</v>
      </c>
      <c r="N38" s="47"/>
      <c r="O38" s="48" t="s">
        <v>107</v>
      </c>
      <c r="P38" s="48" t="s">
        <v>117</v>
      </c>
    </row>
    <row r="39" spans="1:16" ht="12.75" customHeight="1" thickBot="1" x14ac:dyDescent="0.25">
      <c r="A39" s="9" t="str">
        <f t="shared" si="0"/>
        <v> MSAI 37.540 </v>
      </c>
      <c r="B39" s="14" t="str">
        <f t="shared" si="1"/>
        <v>I</v>
      </c>
      <c r="C39" s="9">
        <f t="shared" si="2"/>
        <v>36783.561699999998</v>
      </c>
      <c r="D39" s="12" t="str">
        <f t="shared" si="3"/>
        <v>vis</v>
      </c>
      <c r="E39" s="45">
        <f>VLOOKUP(C39,Active!C$21:E$973,3,FALSE)</f>
        <v>-655.00393971715016</v>
      </c>
      <c r="F39" s="14" t="s">
        <v>69</v>
      </c>
      <c r="G39" s="12" t="str">
        <f t="shared" si="4"/>
        <v>36783.5617</v>
      </c>
      <c r="H39" s="9">
        <f t="shared" si="5"/>
        <v>-655</v>
      </c>
      <c r="I39" s="46" t="s">
        <v>118</v>
      </c>
      <c r="J39" s="47" t="s">
        <v>119</v>
      </c>
      <c r="K39" s="46">
        <v>-655</v>
      </c>
      <c r="L39" s="46" t="s">
        <v>120</v>
      </c>
      <c r="M39" s="47" t="s">
        <v>121</v>
      </c>
      <c r="N39" s="47" t="s">
        <v>122</v>
      </c>
      <c r="O39" s="48" t="s">
        <v>123</v>
      </c>
      <c r="P39" s="48" t="s">
        <v>124</v>
      </c>
    </row>
    <row r="40" spans="1:16" ht="12.75" customHeight="1" thickBot="1" x14ac:dyDescent="0.25">
      <c r="A40" s="9" t="str">
        <f t="shared" si="0"/>
        <v> MVS 3.170 </v>
      </c>
      <c r="B40" s="14" t="str">
        <f t="shared" si="1"/>
        <v>I</v>
      </c>
      <c r="C40" s="9">
        <f t="shared" si="2"/>
        <v>36815.485000000001</v>
      </c>
      <c r="D40" s="12" t="str">
        <f t="shared" si="3"/>
        <v>vis</v>
      </c>
      <c r="E40" s="45">
        <f>VLOOKUP(C40,Active!C$21:E$973,3,FALSE)</f>
        <v>-651.9987121784801</v>
      </c>
      <c r="F40" s="14" t="s">
        <v>69</v>
      </c>
      <c r="G40" s="12" t="str">
        <f t="shared" si="4"/>
        <v>36815.485</v>
      </c>
      <c r="H40" s="9">
        <f t="shared" si="5"/>
        <v>-652</v>
      </c>
      <c r="I40" s="46" t="s">
        <v>125</v>
      </c>
      <c r="J40" s="47" t="s">
        <v>126</v>
      </c>
      <c r="K40" s="46">
        <v>-652</v>
      </c>
      <c r="L40" s="46" t="s">
        <v>127</v>
      </c>
      <c r="M40" s="47" t="s">
        <v>75</v>
      </c>
      <c r="N40" s="47"/>
      <c r="O40" s="48" t="s">
        <v>112</v>
      </c>
      <c r="P40" s="48" t="s">
        <v>113</v>
      </c>
    </row>
    <row r="41" spans="1:16" ht="12.75" customHeight="1" thickBot="1" x14ac:dyDescent="0.25">
      <c r="A41" s="9" t="str">
        <f t="shared" si="0"/>
        <v> AJ 134.839 </v>
      </c>
      <c r="B41" s="14" t="str">
        <f t="shared" si="1"/>
        <v>I</v>
      </c>
      <c r="C41" s="9">
        <f t="shared" si="2"/>
        <v>37112.904300000002</v>
      </c>
      <c r="D41" s="12" t="str">
        <f t="shared" si="3"/>
        <v>vis</v>
      </c>
      <c r="E41" s="45">
        <f>VLOOKUP(C41,Active!C$21:E$973,3,FALSE)</f>
        <v>-623.99995669605994</v>
      </c>
      <c r="F41" s="14" t="s">
        <v>69</v>
      </c>
      <c r="G41" s="12" t="str">
        <f t="shared" si="4"/>
        <v>37112.9043</v>
      </c>
      <c r="H41" s="9">
        <f t="shared" si="5"/>
        <v>-624</v>
      </c>
      <c r="I41" s="46" t="s">
        <v>128</v>
      </c>
      <c r="J41" s="47" t="s">
        <v>129</v>
      </c>
      <c r="K41" s="46">
        <v>-624</v>
      </c>
      <c r="L41" s="46" t="s">
        <v>130</v>
      </c>
      <c r="M41" s="47" t="s">
        <v>121</v>
      </c>
      <c r="N41" s="47" t="s">
        <v>122</v>
      </c>
      <c r="O41" s="48" t="s">
        <v>131</v>
      </c>
      <c r="P41" s="48" t="s">
        <v>132</v>
      </c>
    </row>
    <row r="42" spans="1:16" ht="12.75" customHeight="1" thickBot="1" x14ac:dyDescent="0.25">
      <c r="A42" s="9" t="str">
        <f t="shared" si="0"/>
        <v> MVS 3.170 </v>
      </c>
      <c r="B42" s="14" t="str">
        <f t="shared" si="1"/>
        <v>I</v>
      </c>
      <c r="C42" s="9">
        <f t="shared" si="2"/>
        <v>37941.355000000003</v>
      </c>
      <c r="D42" s="12" t="str">
        <f t="shared" si="3"/>
        <v>vis</v>
      </c>
      <c r="E42" s="45">
        <f>VLOOKUP(C42,Active!C$21:E$973,3,FALSE)</f>
        <v>-546.01043624953968</v>
      </c>
      <c r="F42" s="14" t="s">
        <v>69</v>
      </c>
      <c r="G42" s="12" t="str">
        <f t="shared" si="4"/>
        <v>37941.355</v>
      </c>
      <c r="H42" s="9">
        <f t="shared" si="5"/>
        <v>-546</v>
      </c>
      <c r="I42" s="46" t="s">
        <v>133</v>
      </c>
      <c r="J42" s="47" t="s">
        <v>134</v>
      </c>
      <c r="K42" s="46">
        <v>-546</v>
      </c>
      <c r="L42" s="46" t="s">
        <v>135</v>
      </c>
      <c r="M42" s="47" t="s">
        <v>75</v>
      </c>
      <c r="N42" s="47"/>
      <c r="O42" s="48" t="s">
        <v>112</v>
      </c>
      <c r="P42" s="48" t="s">
        <v>113</v>
      </c>
    </row>
    <row r="43" spans="1:16" ht="12.75" customHeight="1" thickBot="1" x14ac:dyDescent="0.25">
      <c r="A43" s="9" t="str">
        <f t="shared" si="0"/>
        <v> MVS 3.170 </v>
      </c>
      <c r="B43" s="14" t="str">
        <f t="shared" si="1"/>
        <v>I</v>
      </c>
      <c r="C43" s="9">
        <f t="shared" si="2"/>
        <v>38398.224000000002</v>
      </c>
      <c r="D43" s="12" t="str">
        <f t="shared" si="3"/>
        <v>vis</v>
      </c>
      <c r="E43" s="45">
        <f>VLOOKUP(C43,Active!C$21:E$973,3,FALSE)</f>
        <v>-503.00124545896989</v>
      </c>
      <c r="F43" s="14" t="s">
        <v>69</v>
      </c>
      <c r="G43" s="12" t="str">
        <f t="shared" si="4"/>
        <v>38398.224</v>
      </c>
      <c r="H43" s="9">
        <f t="shared" si="5"/>
        <v>-503</v>
      </c>
      <c r="I43" s="46" t="s">
        <v>136</v>
      </c>
      <c r="J43" s="47" t="s">
        <v>137</v>
      </c>
      <c r="K43" s="46">
        <v>-503</v>
      </c>
      <c r="L43" s="46" t="s">
        <v>138</v>
      </c>
      <c r="M43" s="47" t="s">
        <v>75</v>
      </c>
      <c r="N43" s="47"/>
      <c r="O43" s="48" t="s">
        <v>112</v>
      </c>
      <c r="P43" s="48" t="s">
        <v>113</v>
      </c>
    </row>
    <row r="44" spans="1:16" ht="12.75" customHeight="1" thickBot="1" x14ac:dyDescent="0.25">
      <c r="A44" s="9" t="str">
        <f t="shared" si="0"/>
        <v> MVS 3.170 </v>
      </c>
      <c r="B44" s="14" t="str">
        <f t="shared" si="1"/>
        <v>I</v>
      </c>
      <c r="C44" s="9">
        <f t="shared" si="2"/>
        <v>38642.464</v>
      </c>
      <c r="D44" s="12" t="str">
        <f t="shared" si="3"/>
        <v>vis</v>
      </c>
      <c r="E44" s="45">
        <f>VLOOKUP(C44,Active!C$21:E$973,3,FALSE)</f>
        <v>-480.00873609920001</v>
      </c>
      <c r="F44" s="14" t="s">
        <v>69</v>
      </c>
      <c r="G44" s="12" t="str">
        <f t="shared" si="4"/>
        <v>38642.464</v>
      </c>
      <c r="H44" s="9">
        <f t="shared" si="5"/>
        <v>-480</v>
      </c>
      <c r="I44" s="46" t="s">
        <v>139</v>
      </c>
      <c r="J44" s="47" t="s">
        <v>140</v>
      </c>
      <c r="K44" s="46">
        <v>-480</v>
      </c>
      <c r="L44" s="46" t="s">
        <v>141</v>
      </c>
      <c r="M44" s="47" t="s">
        <v>75</v>
      </c>
      <c r="N44" s="47"/>
      <c r="O44" s="48" t="s">
        <v>112</v>
      </c>
      <c r="P44" s="48" t="s">
        <v>113</v>
      </c>
    </row>
    <row r="45" spans="1:16" ht="12.75" customHeight="1" thickBot="1" x14ac:dyDescent="0.25">
      <c r="A45" s="9" t="str">
        <f t="shared" si="0"/>
        <v> VSSC 73 </v>
      </c>
      <c r="B45" s="14" t="str">
        <f t="shared" si="1"/>
        <v>I</v>
      </c>
      <c r="C45" s="9">
        <f t="shared" si="2"/>
        <v>47735.510399999999</v>
      </c>
      <c r="D45" s="12" t="str">
        <f t="shared" si="3"/>
        <v>vis</v>
      </c>
      <c r="E45" s="45">
        <f>VLOOKUP(C45,Active!C$21:E$973,3,FALSE)</f>
        <v>376.00155894183973</v>
      </c>
      <c r="F45" s="14" t="s">
        <v>69</v>
      </c>
      <c r="G45" s="12" t="str">
        <f t="shared" si="4"/>
        <v>47735.5104</v>
      </c>
      <c r="H45" s="9">
        <f t="shared" si="5"/>
        <v>376</v>
      </c>
      <c r="I45" s="46" t="s">
        <v>188</v>
      </c>
      <c r="J45" s="47" t="s">
        <v>189</v>
      </c>
      <c r="K45" s="46">
        <v>376</v>
      </c>
      <c r="L45" s="46" t="s">
        <v>190</v>
      </c>
      <c r="M45" s="47" t="s">
        <v>121</v>
      </c>
      <c r="N45" s="47" t="s">
        <v>122</v>
      </c>
      <c r="O45" s="48" t="s">
        <v>191</v>
      </c>
      <c r="P45" s="48" t="s">
        <v>192</v>
      </c>
    </row>
    <row r="46" spans="1:16" ht="12.75" customHeight="1" thickBot="1" x14ac:dyDescent="0.25">
      <c r="A46" s="9" t="str">
        <f t="shared" si="0"/>
        <v>BAVM 157 </v>
      </c>
      <c r="B46" s="14" t="str">
        <f t="shared" si="1"/>
        <v>I</v>
      </c>
      <c r="C46" s="9">
        <f t="shared" si="2"/>
        <v>52526.239999999998</v>
      </c>
      <c r="D46" s="12" t="str">
        <f t="shared" si="3"/>
        <v>vis</v>
      </c>
      <c r="E46" s="45">
        <f>VLOOKUP(C46,Active!C$21:E$973,3,FALSE)</f>
        <v>826.99605275172962</v>
      </c>
      <c r="F46" s="14" t="s">
        <v>69</v>
      </c>
      <c r="G46" s="12" t="str">
        <f t="shared" si="4"/>
        <v>52526.24</v>
      </c>
      <c r="H46" s="9">
        <f t="shared" si="5"/>
        <v>827</v>
      </c>
      <c r="I46" s="46" t="s">
        <v>204</v>
      </c>
      <c r="J46" s="47" t="s">
        <v>205</v>
      </c>
      <c r="K46" s="46" t="s">
        <v>206</v>
      </c>
      <c r="L46" s="46" t="s">
        <v>207</v>
      </c>
      <c r="M46" s="47" t="s">
        <v>87</v>
      </c>
      <c r="N46" s="47"/>
      <c r="O46" s="48" t="s">
        <v>208</v>
      </c>
      <c r="P46" s="49" t="s">
        <v>209</v>
      </c>
    </row>
    <row r="47" spans="1:16" ht="12.75" customHeight="1" thickBot="1" x14ac:dyDescent="0.25">
      <c r="A47" s="9" t="str">
        <f t="shared" si="0"/>
        <v>BAVM 171 </v>
      </c>
      <c r="B47" s="14" t="str">
        <f t="shared" si="1"/>
        <v>I</v>
      </c>
      <c r="C47" s="9">
        <f t="shared" si="2"/>
        <v>52855.59</v>
      </c>
      <c r="D47" s="12" t="str">
        <f t="shared" si="3"/>
        <v>vis</v>
      </c>
      <c r="E47" s="45">
        <f>VLOOKUP(C47,Active!C$21:E$973,3,FALSE)</f>
        <v>858.00073240141944</v>
      </c>
      <c r="F47" s="14" t="s">
        <v>69</v>
      </c>
      <c r="G47" s="12" t="str">
        <f t="shared" si="4"/>
        <v>52855.59</v>
      </c>
      <c r="H47" s="9">
        <f t="shared" si="5"/>
        <v>858</v>
      </c>
      <c r="I47" s="46" t="s">
        <v>210</v>
      </c>
      <c r="J47" s="47" t="s">
        <v>211</v>
      </c>
      <c r="K47" s="46" t="s">
        <v>212</v>
      </c>
      <c r="L47" s="46" t="s">
        <v>213</v>
      </c>
      <c r="M47" s="47" t="s">
        <v>87</v>
      </c>
      <c r="N47" s="47"/>
      <c r="O47" s="48" t="s">
        <v>208</v>
      </c>
      <c r="P47" s="49" t="s">
        <v>214</v>
      </c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</sheetData>
  <phoneticPr fontId="7" type="noConversion"/>
  <hyperlinks>
    <hyperlink ref="P12" r:id="rId1" display="http://www.konkoly.hu/cgi-bin/IBVS?1800"/>
    <hyperlink ref="P19" r:id="rId2" display="http://www.bav-astro.de/sfs/BAVM_link.php?BAVMnr=52"/>
    <hyperlink ref="P20" r:id="rId3" display="http://www.bav-astro.de/sfs/BAVM_link.php?BAVMnr=46"/>
    <hyperlink ref="P22" r:id="rId4" display="http://www.bav-astro.de/sfs/BAVM_link.php?BAVMnr=59"/>
    <hyperlink ref="P23" r:id="rId5" display="http://www.bav-astro.de/sfs/BAVM_link.php?BAVMnr=111"/>
    <hyperlink ref="P46" r:id="rId6" display="http://www.bav-astro.de/sfs/BAVM_link.php?BAVMnr=157"/>
    <hyperlink ref="P47" r:id="rId7" display="http://www.bav-astro.de/sfs/BAVM_link.php?BAVMnr=171"/>
    <hyperlink ref="P24" r:id="rId8" display="http://www.konkoly.hu/cgi-bin/IBVS?6007"/>
    <hyperlink ref="P25" r:id="rId9" display="http://www.konkoly.hu/cgi-bin/IBVS?6007"/>
    <hyperlink ref="P26" r:id="rId10" display="http://www.konkoly.hu/cgi-bin/IBVS?6007"/>
    <hyperlink ref="P27" r:id="rId11" display="http://www.bav-astro.de/sfs/BAVM_link.php?BAVMnr=215"/>
    <hyperlink ref="P28" r:id="rId12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2024-03-01T06:08:01Z</dcterms:modified>
</cp:coreProperties>
</file>