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B4B1BFA-87E5-4928-882A-38934C41311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7" i="1" l="1"/>
  <c r="Q34" i="1"/>
  <c r="Q33" i="1"/>
  <c r="Q30" i="1"/>
  <c r="Q29" i="1"/>
  <c r="Q28" i="1"/>
  <c r="Q27" i="1"/>
  <c r="Q26" i="1"/>
  <c r="Q25" i="1"/>
  <c r="Q24" i="1"/>
  <c r="Q23" i="1"/>
  <c r="Q22" i="1"/>
  <c r="Q21" i="1"/>
  <c r="G14" i="2"/>
  <c r="C14" i="2"/>
  <c r="G27" i="2"/>
  <c r="C27" i="2"/>
  <c r="G13" i="2"/>
  <c r="C13" i="2"/>
  <c r="G12" i="2"/>
  <c r="C12" i="2"/>
  <c r="G26" i="2"/>
  <c r="C26" i="2"/>
  <c r="G25" i="2"/>
  <c r="C25" i="2"/>
  <c r="G11" i="2"/>
  <c r="C11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H14" i="2"/>
  <c r="B14" i="2"/>
  <c r="D14" i="2"/>
  <c r="A14" i="2"/>
  <c r="H27" i="2"/>
  <c r="B27" i="2"/>
  <c r="D27" i="2"/>
  <c r="A27" i="2"/>
  <c r="H13" i="2"/>
  <c r="B13" i="2"/>
  <c r="D13" i="2"/>
  <c r="A13" i="2"/>
  <c r="H12" i="2"/>
  <c r="B12" i="2"/>
  <c r="D12" i="2"/>
  <c r="A12" i="2"/>
  <c r="H26" i="2"/>
  <c r="B26" i="2"/>
  <c r="D26" i="2"/>
  <c r="A26" i="2"/>
  <c r="H25" i="2"/>
  <c r="B25" i="2"/>
  <c r="D25" i="2"/>
  <c r="A25" i="2"/>
  <c r="H11" i="2"/>
  <c r="B11" i="2"/>
  <c r="D11" i="2"/>
  <c r="A1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F11" i="1"/>
  <c r="Q39" i="1"/>
  <c r="Q38" i="1"/>
  <c r="G11" i="1"/>
  <c r="E15" i="1"/>
  <c r="C17" i="1"/>
  <c r="Q32" i="1"/>
  <c r="Q36" i="1"/>
  <c r="Q35" i="1"/>
  <c r="C7" i="1"/>
  <c r="E26" i="1"/>
  <c r="F26" i="1"/>
  <c r="C8" i="1"/>
  <c r="Q31" i="1"/>
  <c r="E20" i="2"/>
  <c r="E22" i="2"/>
  <c r="E23" i="2"/>
  <c r="E39" i="1"/>
  <c r="F39" i="1"/>
  <c r="E33" i="1"/>
  <c r="F33" i="1"/>
  <c r="E23" i="1"/>
  <c r="F23" i="1"/>
  <c r="G23" i="1"/>
  <c r="K23" i="1"/>
  <c r="E35" i="1"/>
  <c r="F35" i="1"/>
  <c r="G35" i="1"/>
  <c r="J35" i="1"/>
  <c r="E28" i="1"/>
  <c r="F28" i="1"/>
  <c r="E37" i="1"/>
  <c r="F37" i="1"/>
  <c r="G37" i="1"/>
  <c r="K37" i="1"/>
  <c r="G27" i="1"/>
  <c r="K27" i="1"/>
  <c r="E25" i="1"/>
  <c r="F25" i="1"/>
  <c r="G25" i="1"/>
  <c r="K25" i="1"/>
  <c r="E38" i="1"/>
  <c r="F38" i="1"/>
  <c r="G38" i="1"/>
  <c r="J38" i="1"/>
  <c r="E30" i="1"/>
  <c r="F30" i="1"/>
  <c r="G30" i="1"/>
  <c r="K30" i="1"/>
  <c r="E22" i="1"/>
  <c r="F22" i="1"/>
  <c r="G22" i="1"/>
  <c r="K22" i="1"/>
  <c r="G36" i="1"/>
  <c r="J36" i="1"/>
  <c r="E32" i="1"/>
  <c r="F32" i="1"/>
  <c r="G32" i="1"/>
  <c r="J32" i="1"/>
  <c r="E27" i="1"/>
  <c r="F27" i="1"/>
  <c r="E34" i="1"/>
  <c r="F34" i="1"/>
  <c r="G34" i="1"/>
  <c r="K34" i="1"/>
  <c r="G26" i="1"/>
  <c r="K26" i="1"/>
  <c r="E24" i="1"/>
  <c r="F24" i="1"/>
  <c r="G24" i="1"/>
  <c r="K24" i="1"/>
  <c r="G39" i="1"/>
  <c r="J39" i="1"/>
  <c r="E36" i="1"/>
  <c r="F36" i="1"/>
  <c r="G33" i="1"/>
  <c r="K33" i="1"/>
  <c r="E29" i="1"/>
  <c r="F29" i="1"/>
  <c r="G29" i="1"/>
  <c r="K29" i="1"/>
  <c r="E21" i="1"/>
  <c r="F21" i="1"/>
  <c r="G21" i="1"/>
  <c r="E31" i="1"/>
  <c r="F31" i="1"/>
  <c r="G31" i="1"/>
  <c r="H31" i="1"/>
  <c r="G28" i="1"/>
  <c r="K28" i="1"/>
  <c r="K21" i="1"/>
  <c r="E17" i="2"/>
  <c r="E15" i="2"/>
  <c r="E26" i="2"/>
  <c r="E27" i="2"/>
  <c r="E19" i="2"/>
  <c r="E16" i="2"/>
  <c r="E18" i="2"/>
  <c r="E21" i="2"/>
  <c r="E14" i="2"/>
  <c r="E13" i="2"/>
  <c r="E11" i="2"/>
  <c r="E12" i="2"/>
  <c r="E25" i="2"/>
  <c r="E24" i="2"/>
  <c r="C12" i="1"/>
  <c r="C16" i="1" l="1"/>
  <c r="D18" i="1" s="1"/>
  <c r="C11" i="1"/>
  <c r="O35" i="1" l="1"/>
  <c r="O37" i="1"/>
  <c r="O24" i="1"/>
  <c r="O31" i="1"/>
  <c r="O29" i="1"/>
  <c r="O21" i="1"/>
  <c r="O26" i="1"/>
  <c r="O25" i="1"/>
  <c r="C15" i="1"/>
  <c r="O32" i="1"/>
  <c r="O27" i="1"/>
  <c r="O38" i="1"/>
  <c r="O36" i="1"/>
  <c r="O33" i="1"/>
  <c r="O30" i="1"/>
  <c r="O23" i="1"/>
  <c r="O22" i="1"/>
  <c r="O28" i="1"/>
  <c r="O39" i="1"/>
  <c r="O34" i="1"/>
  <c r="C18" i="1" l="1"/>
  <c r="E16" i="1"/>
  <c r="E17" i="1" s="1"/>
</calcChain>
</file>

<file path=xl/sharedStrings.xml><?xml version="1.0" encoding="utf-8"?>
<sst xmlns="http://schemas.openxmlformats.org/spreadsheetml/2006/main" count="215" uniqueCount="124">
  <si>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</si>
  <si>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</si>
  <si>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</si>
  <si>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</si>
  <si>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</si>
  <si>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</si>
  <si>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</si>
  <si>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</si>
  <si>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</si>
  <si>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</si>
  <si>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</si>
  <si>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</si>
  <si>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</si>
  <si>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</si>
  <si>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</si>
  <si>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</si>
  <si>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</si>
  <si>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</si>
  <si>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</si>
  <si>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</si>
  <si>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</si>
  <si>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</si>
  <si>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</si>
  <si>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</si>
  <si>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</si>
  <si>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</si>
  <si>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</si>
  <si>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</si>
  <si>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EA/SD:</t>
  </si>
  <si>
    <t>IBVS 5296</t>
  </si>
  <si>
    <t># of data points:</t>
  </si>
  <si>
    <t>IBVS 5438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</si>
  <si>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</si>
  <si>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</si>
  <si>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</si>
  <si>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</si>
  <si>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</si>
  <si>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</si>
  <si>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</si>
  <si>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</si>
  <si>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0107</t>
  </si>
  <si>
    <t>OEJV 0160</t>
  </si>
  <si>
    <t>AY Peg / GSC 2727-0638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</si>
  <si>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</si>
  <si>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</si>
  <si>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</si>
  <si>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</si>
  <si>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</si>
  <si>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</si>
  <si>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</si>
  <si>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</si>
  <si>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</si>
  <si>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</si>
  <si>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</si>
  <si>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2443367.425 </t>
  </si>
  <si>
    <t> 11.08.1977 22:12 </t>
  </si>
  <si>
    <t> -0.024 </t>
  </si>
  <si>
    <t>V </t>
  </si>
  <si>
    <t> A.Figer </t>
  </si>
  <si>
    <t> GEOS 1 </t>
  </si>
  <si>
    <t>2443372.347 </t>
  </si>
  <si>
    <t> 16.08.1977 20:19 </t>
  </si>
  <si>
    <t> 0.020 </t>
  </si>
  <si>
    <t>2443396.725 </t>
  </si>
  <si>
    <t> 10.09.1977 05:24 </t>
  </si>
  <si>
    <t> 0.008 </t>
  </si>
  <si>
    <t>2443401.574 </t>
  </si>
  <si>
    <t> 15.09.1977 01:46 </t>
  </si>
  <si>
    <t> -0.021 </t>
  </si>
  <si>
    <t>2443428.403 </t>
  </si>
  <si>
    <t> 11.10.1977 21:40 </t>
  </si>
  <si>
    <t>2443718.681 </t>
  </si>
  <si>
    <t> 29.07.1978 04:20 </t>
  </si>
  <si>
    <t> 0.015 </t>
  </si>
  <si>
    <t>2443733.296 </t>
  </si>
  <si>
    <t> 12.08.1978 19:06 </t>
  </si>
  <si>
    <t> -0.004 </t>
  </si>
  <si>
    <t>2443767.413 </t>
  </si>
  <si>
    <t> 15.09.1978 21:54 </t>
  </si>
  <si>
    <t> -0.034 </t>
  </si>
  <si>
    <t>2443784.526 </t>
  </si>
  <si>
    <t> 03.10.1978 00:37 </t>
  </si>
  <si>
    <t> 0.006 </t>
  </si>
  <si>
    <t>2443789.394 </t>
  </si>
  <si>
    <t> 07.10.1978 21:27 </t>
  </si>
  <si>
    <t>2447767.394 </t>
  </si>
  <si>
    <t> 28.08.1989 21:27 </t>
  </si>
  <si>
    <t> -0.032 </t>
  </si>
  <si>
    <t> M.Martignoni </t>
  </si>
  <si>
    <t> BBS 129 </t>
  </si>
  <si>
    <t>2451757.4913 </t>
  </si>
  <si>
    <t> 31.07.2000 23:47 </t>
  </si>
  <si>
    <t> -0.1586 </t>
  </si>
  <si>
    <t>E </t>
  </si>
  <si>
    <t>?</t>
  </si>
  <si>
    <t> R.Diethelm </t>
  </si>
  <si>
    <t> BBS 123 </t>
  </si>
  <si>
    <t>2451884.313 </t>
  </si>
  <si>
    <t> 05.12.2000 19:30 </t>
  </si>
  <si>
    <t> -0.166 </t>
  </si>
  <si>
    <t> BBS 124 </t>
  </si>
  <si>
    <t>2452118.4544 </t>
  </si>
  <si>
    <t> 27.07.2001 22:54 </t>
  </si>
  <si>
    <t> -0.1693 </t>
  </si>
  <si>
    <t>o</t>
  </si>
  <si>
    <t> F.Agerer </t>
  </si>
  <si>
    <t>BAVM 152 </t>
  </si>
  <si>
    <t>2452535.5187 </t>
  </si>
  <si>
    <t> 18.09.2002 00:26 </t>
  </si>
  <si>
    <t> -0.1760 </t>
  </si>
  <si>
    <t>2454318.4016 </t>
  </si>
  <si>
    <t> 05.08.2007 21:38 </t>
  </si>
  <si>
    <t> -0.2109 </t>
  </si>
  <si>
    <t>C </t>
  </si>
  <si>
    <t>R</t>
  </si>
  <si>
    <t> M.Lehky </t>
  </si>
  <si>
    <t>OEJV 0107 </t>
  </si>
  <si>
    <t>2456152.46664 </t>
  </si>
  <si>
    <t> 12.08.2012 23:11 </t>
  </si>
  <si>
    <t> -0.28288 </t>
  </si>
  <si>
    <t> J.Trnka </t>
  </si>
  <si>
    <t>OEJV 0160 </t>
  </si>
  <si>
    <t>S2</t>
  </si>
  <si>
    <t>vis&gt;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</si>
</sst>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/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Peg - O-C Diagr.</a:t>
            </a:r>
          </a:p>
        </c:rich>
      </c:tx>
      <c:layout>
        <c:manualLayout>
          <c:xMode val="edge"/>
          <c:yMode val="edge"/>
          <c:x val="0.3780294183743994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126016103039257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-449</c:v>
                </c:pt>
                <c:pt idx="1">
                  <c:v>-447</c:v>
                </c:pt>
                <c:pt idx="2">
                  <c:v>-437</c:v>
                </c:pt>
                <c:pt idx="3">
                  <c:v>-435</c:v>
                </c:pt>
                <c:pt idx="4">
                  <c:v>-424</c:v>
                </c:pt>
                <c:pt idx="5">
                  <c:v>-305</c:v>
                </c:pt>
                <c:pt idx="6">
                  <c:v>-299</c:v>
                </c:pt>
                <c:pt idx="7">
                  <c:v>-285</c:v>
                </c:pt>
                <c:pt idx="8">
                  <c:v>-278</c:v>
                </c:pt>
                <c:pt idx="9">
                  <c:v>-276</c:v>
                </c:pt>
                <c:pt idx="10">
                  <c:v>0</c:v>
                </c:pt>
                <c:pt idx="11">
                  <c:v>1355</c:v>
                </c:pt>
                <c:pt idx="12">
                  <c:v>2991</c:v>
                </c:pt>
                <c:pt idx="13">
                  <c:v>3043</c:v>
                </c:pt>
                <c:pt idx="14">
                  <c:v>3139</c:v>
                </c:pt>
                <c:pt idx="15">
                  <c:v>3310</c:v>
                </c:pt>
                <c:pt idx="16">
                  <c:v>4041</c:v>
                </c:pt>
                <c:pt idx="17">
                  <c:v>4041</c:v>
                </c:pt>
                <c:pt idx="18">
                  <c:v>4793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FE-424A-9037-351B456224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1">
                    <c:v>5.0000000000000001E-3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1">
                    <c:v>5.0000000000000001E-3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-449</c:v>
                </c:pt>
                <c:pt idx="1">
                  <c:v>-447</c:v>
                </c:pt>
                <c:pt idx="2">
                  <c:v>-437</c:v>
                </c:pt>
                <c:pt idx="3">
                  <c:v>-435</c:v>
                </c:pt>
                <c:pt idx="4">
                  <c:v>-424</c:v>
                </c:pt>
                <c:pt idx="5">
                  <c:v>-305</c:v>
                </c:pt>
                <c:pt idx="6">
                  <c:v>-299</c:v>
                </c:pt>
                <c:pt idx="7">
                  <c:v>-285</c:v>
                </c:pt>
                <c:pt idx="8">
                  <c:v>-278</c:v>
                </c:pt>
                <c:pt idx="9">
                  <c:v>-276</c:v>
                </c:pt>
                <c:pt idx="10">
                  <c:v>0</c:v>
                </c:pt>
                <c:pt idx="11">
                  <c:v>1355</c:v>
                </c:pt>
                <c:pt idx="12">
                  <c:v>2991</c:v>
                </c:pt>
                <c:pt idx="13">
                  <c:v>3043</c:v>
                </c:pt>
                <c:pt idx="14">
                  <c:v>3139</c:v>
                </c:pt>
                <c:pt idx="15">
                  <c:v>3310</c:v>
                </c:pt>
                <c:pt idx="16">
                  <c:v>4041</c:v>
                </c:pt>
                <c:pt idx="17">
                  <c:v>4041</c:v>
                </c:pt>
                <c:pt idx="18">
                  <c:v>4793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FE-424A-9037-351B456224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1">
                    <c:v>5.0000000000000001E-3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1">
                    <c:v>5.0000000000000001E-3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-449</c:v>
                </c:pt>
                <c:pt idx="1">
                  <c:v>-447</c:v>
                </c:pt>
                <c:pt idx="2">
                  <c:v>-437</c:v>
                </c:pt>
                <c:pt idx="3">
                  <c:v>-435</c:v>
                </c:pt>
                <c:pt idx="4">
                  <c:v>-424</c:v>
                </c:pt>
                <c:pt idx="5">
                  <c:v>-305</c:v>
                </c:pt>
                <c:pt idx="6">
                  <c:v>-299</c:v>
                </c:pt>
                <c:pt idx="7">
                  <c:v>-285</c:v>
                </c:pt>
                <c:pt idx="8">
                  <c:v>-278</c:v>
                </c:pt>
                <c:pt idx="9">
                  <c:v>-276</c:v>
                </c:pt>
                <c:pt idx="10">
                  <c:v>0</c:v>
                </c:pt>
                <c:pt idx="11">
                  <c:v>1355</c:v>
                </c:pt>
                <c:pt idx="12">
                  <c:v>2991</c:v>
                </c:pt>
                <c:pt idx="13">
                  <c:v>3043</c:v>
                </c:pt>
                <c:pt idx="14">
                  <c:v>3139</c:v>
                </c:pt>
                <c:pt idx="15">
                  <c:v>3310</c:v>
                </c:pt>
                <c:pt idx="16">
                  <c:v>4041</c:v>
                </c:pt>
                <c:pt idx="17">
                  <c:v>4041</c:v>
                </c:pt>
                <c:pt idx="18">
                  <c:v>4793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1">
                  <c:v>-3.2259999999951106E-2</c:v>
                </c:pt>
                <c:pt idx="14">
                  <c:v>-0.16926799999782816</c:v>
                </c:pt>
                <c:pt idx="15">
                  <c:v>-0.17601999999897089</c:v>
                </c:pt>
                <c:pt idx="17">
                  <c:v>-0.21088199999940116</c:v>
                </c:pt>
                <c:pt idx="18">
                  <c:v>-0.28287600000476232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FE-424A-9037-351B456224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vis&gt;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1">
                    <c:v>5.0000000000000001E-3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1">
                    <c:v>5.0000000000000001E-3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-449</c:v>
                </c:pt>
                <c:pt idx="1">
                  <c:v>-447</c:v>
                </c:pt>
                <c:pt idx="2">
                  <c:v>-437</c:v>
                </c:pt>
                <c:pt idx="3">
                  <c:v>-435</c:v>
                </c:pt>
                <c:pt idx="4">
                  <c:v>-424</c:v>
                </c:pt>
                <c:pt idx="5">
                  <c:v>-305</c:v>
                </c:pt>
                <c:pt idx="6">
                  <c:v>-299</c:v>
                </c:pt>
                <c:pt idx="7">
                  <c:v>-285</c:v>
                </c:pt>
                <c:pt idx="8">
                  <c:v>-278</c:v>
                </c:pt>
                <c:pt idx="9">
                  <c:v>-276</c:v>
                </c:pt>
                <c:pt idx="10">
                  <c:v>0</c:v>
                </c:pt>
                <c:pt idx="11">
                  <c:v>1355</c:v>
                </c:pt>
                <c:pt idx="12">
                  <c:v>2991</c:v>
                </c:pt>
                <c:pt idx="13">
                  <c:v>3043</c:v>
                </c:pt>
                <c:pt idx="14">
                  <c:v>3139</c:v>
                </c:pt>
                <c:pt idx="15">
                  <c:v>3310</c:v>
                </c:pt>
                <c:pt idx="16">
                  <c:v>4041</c:v>
                </c:pt>
                <c:pt idx="17">
                  <c:v>4041</c:v>
                </c:pt>
                <c:pt idx="18">
                  <c:v>4793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-2.361199999722885E-2</c:v>
                </c:pt>
                <c:pt idx="1">
                  <c:v>2.0363999996334314E-2</c:v>
                </c:pt>
                <c:pt idx="2">
                  <c:v>8.2439999969210476E-3</c:v>
                </c:pt>
                <c:pt idx="3">
                  <c:v>-2.0779999998921994E-2</c:v>
                </c:pt>
                <c:pt idx="4">
                  <c:v>-2.0912000007228926E-2</c:v>
                </c:pt>
                <c:pt idx="5">
                  <c:v>1.4659999993455131E-2</c:v>
                </c:pt>
                <c:pt idx="6">
                  <c:v>-4.412000002048444E-3</c:v>
                </c:pt>
                <c:pt idx="7">
                  <c:v>-3.3580000002984889E-2</c:v>
                </c:pt>
                <c:pt idx="8">
                  <c:v>6.335999998555053E-3</c:v>
                </c:pt>
                <c:pt idx="9">
                  <c:v>-3.6880000043311156E-3</c:v>
                </c:pt>
                <c:pt idx="12">
                  <c:v>-0.15859199999977136</c:v>
                </c:pt>
                <c:pt idx="13">
                  <c:v>-0.16551600000093458</c:v>
                </c:pt>
                <c:pt idx="16">
                  <c:v>-0.21089200000278652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FE-424A-9037-351B456224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1">
                    <c:v>5.0000000000000001E-3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1">
                    <c:v>5.0000000000000001E-3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-449</c:v>
                </c:pt>
                <c:pt idx="1">
                  <c:v>-447</c:v>
                </c:pt>
                <c:pt idx="2">
                  <c:v>-437</c:v>
                </c:pt>
                <c:pt idx="3">
                  <c:v>-435</c:v>
                </c:pt>
                <c:pt idx="4">
                  <c:v>-424</c:v>
                </c:pt>
                <c:pt idx="5">
                  <c:v>-305</c:v>
                </c:pt>
                <c:pt idx="6">
                  <c:v>-299</c:v>
                </c:pt>
                <c:pt idx="7">
                  <c:v>-285</c:v>
                </c:pt>
                <c:pt idx="8">
                  <c:v>-278</c:v>
                </c:pt>
                <c:pt idx="9">
                  <c:v>-276</c:v>
                </c:pt>
                <c:pt idx="10">
                  <c:v>0</c:v>
                </c:pt>
                <c:pt idx="11">
                  <c:v>1355</c:v>
                </c:pt>
                <c:pt idx="12">
                  <c:v>2991</c:v>
                </c:pt>
                <c:pt idx="13">
                  <c:v>3043</c:v>
                </c:pt>
                <c:pt idx="14">
                  <c:v>3139</c:v>
                </c:pt>
                <c:pt idx="15">
                  <c:v>3310</c:v>
                </c:pt>
                <c:pt idx="16">
                  <c:v>4041</c:v>
                </c:pt>
                <c:pt idx="17">
                  <c:v>4041</c:v>
                </c:pt>
                <c:pt idx="18">
                  <c:v>4793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FE-424A-9037-351B456224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1">
                    <c:v>5.0000000000000001E-3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1">
                    <c:v>5.0000000000000001E-3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-449</c:v>
                </c:pt>
                <c:pt idx="1">
                  <c:v>-447</c:v>
                </c:pt>
                <c:pt idx="2">
                  <c:v>-437</c:v>
                </c:pt>
                <c:pt idx="3">
                  <c:v>-435</c:v>
                </c:pt>
                <c:pt idx="4">
                  <c:v>-424</c:v>
                </c:pt>
                <c:pt idx="5">
                  <c:v>-305</c:v>
                </c:pt>
                <c:pt idx="6">
                  <c:v>-299</c:v>
                </c:pt>
                <c:pt idx="7">
                  <c:v>-285</c:v>
                </c:pt>
                <c:pt idx="8">
                  <c:v>-278</c:v>
                </c:pt>
                <c:pt idx="9">
                  <c:v>-276</c:v>
                </c:pt>
                <c:pt idx="10">
                  <c:v>0</c:v>
                </c:pt>
                <c:pt idx="11">
                  <c:v>1355</c:v>
                </c:pt>
                <c:pt idx="12">
                  <c:v>2991</c:v>
                </c:pt>
                <c:pt idx="13">
                  <c:v>3043</c:v>
                </c:pt>
                <c:pt idx="14">
                  <c:v>3139</c:v>
                </c:pt>
                <c:pt idx="15">
                  <c:v>3310</c:v>
                </c:pt>
                <c:pt idx="16">
                  <c:v>4041</c:v>
                </c:pt>
                <c:pt idx="17">
                  <c:v>4041</c:v>
                </c:pt>
                <c:pt idx="18">
                  <c:v>4793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FE-424A-9037-351B456224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1">
                    <c:v>5.0000000000000001E-3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1">
                    <c:v>5.0000000000000001E-3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-449</c:v>
                </c:pt>
                <c:pt idx="1">
                  <c:v>-447</c:v>
                </c:pt>
                <c:pt idx="2">
                  <c:v>-437</c:v>
                </c:pt>
                <c:pt idx="3">
                  <c:v>-435</c:v>
                </c:pt>
                <c:pt idx="4">
                  <c:v>-424</c:v>
                </c:pt>
                <c:pt idx="5">
                  <c:v>-305</c:v>
                </c:pt>
                <c:pt idx="6">
                  <c:v>-299</c:v>
                </c:pt>
                <c:pt idx="7">
                  <c:v>-285</c:v>
                </c:pt>
                <c:pt idx="8">
                  <c:v>-278</c:v>
                </c:pt>
                <c:pt idx="9">
                  <c:v>-276</c:v>
                </c:pt>
                <c:pt idx="10">
                  <c:v>0</c:v>
                </c:pt>
                <c:pt idx="11">
                  <c:v>1355</c:v>
                </c:pt>
                <c:pt idx="12">
                  <c:v>2991</c:v>
                </c:pt>
                <c:pt idx="13">
                  <c:v>3043</c:v>
                </c:pt>
                <c:pt idx="14">
                  <c:v>3139</c:v>
                </c:pt>
                <c:pt idx="15">
                  <c:v>3310</c:v>
                </c:pt>
                <c:pt idx="16">
                  <c:v>4041</c:v>
                </c:pt>
                <c:pt idx="17">
                  <c:v>4041</c:v>
                </c:pt>
                <c:pt idx="18">
                  <c:v>4793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FE-424A-9037-351B456224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-449</c:v>
                </c:pt>
                <c:pt idx="1">
                  <c:v>-447</c:v>
                </c:pt>
                <c:pt idx="2">
                  <c:v>-437</c:v>
                </c:pt>
                <c:pt idx="3">
                  <c:v>-435</c:v>
                </c:pt>
                <c:pt idx="4">
                  <c:v>-424</c:v>
                </c:pt>
                <c:pt idx="5">
                  <c:v>-305</c:v>
                </c:pt>
                <c:pt idx="6">
                  <c:v>-299</c:v>
                </c:pt>
                <c:pt idx="7">
                  <c:v>-285</c:v>
                </c:pt>
                <c:pt idx="8">
                  <c:v>-278</c:v>
                </c:pt>
                <c:pt idx="9">
                  <c:v>-276</c:v>
                </c:pt>
                <c:pt idx="10">
                  <c:v>0</c:v>
                </c:pt>
                <c:pt idx="11">
                  <c:v>1355</c:v>
                </c:pt>
                <c:pt idx="12">
                  <c:v>2991</c:v>
                </c:pt>
                <c:pt idx="13">
                  <c:v>3043</c:v>
                </c:pt>
                <c:pt idx="14">
                  <c:v>3139</c:v>
                </c:pt>
                <c:pt idx="15">
                  <c:v>3310</c:v>
                </c:pt>
                <c:pt idx="16">
                  <c:v>4041</c:v>
                </c:pt>
                <c:pt idx="17">
                  <c:v>4041</c:v>
                </c:pt>
                <c:pt idx="18">
                  <c:v>4793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3.8831979835750111E-3</c:v>
                </c:pt>
                <c:pt idx="1">
                  <c:v>3.7859176671006002E-3</c:v>
                </c:pt>
                <c:pt idx="2">
                  <c:v>3.2995160847285529E-3</c:v>
                </c:pt>
                <c:pt idx="3">
                  <c:v>3.2022357682541421E-3</c:v>
                </c:pt>
                <c:pt idx="4">
                  <c:v>2.6671940276448876E-3</c:v>
                </c:pt>
                <c:pt idx="5">
                  <c:v>-3.1209848025824972E-3</c:v>
                </c:pt>
                <c:pt idx="6">
                  <c:v>-3.4128257520057263E-3</c:v>
                </c:pt>
                <c:pt idx="7">
                  <c:v>-4.0937879673265953E-3</c:v>
                </c:pt>
                <c:pt idx="8">
                  <c:v>-4.4342690749870298E-3</c:v>
                </c:pt>
                <c:pt idx="9">
                  <c:v>-4.531549391461439E-3</c:v>
                </c:pt>
                <c:pt idx="10">
                  <c:v>-1.7956233064929994E-2</c:v>
                </c:pt>
                <c:pt idx="11">
                  <c:v>-8.3863647476342645E-2</c:v>
                </c:pt>
                <c:pt idx="12">
                  <c:v>-0.16343894635240988</c:v>
                </c:pt>
                <c:pt idx="13">
                  <c:v>-0.16596823458074453</c:v>
                </c:pt>
                <c:pt idx="14">
                  <c:v>-0.17063768977151619</c:v>
                </c:pt>
                <c:pt idx="15">
                  <c:v>-0.17895515683007823</c:v>
                </c:pt>
                <c:pt idx="16">
                  <c:v>-0.21451111250147503</c:v>
                </c:pt>
                <c:pt idx="17">
                  <c:v>-0.21451111250147503</c:v>
                </c:pt>
                <c:pt idx="18">
                  <c:v>-0.2510885114958531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FE-424A-9037-351B45622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097872"/>
        <c:axId val="1"/>
      </c:scatterChart>
      <c:valAx>
        <c:axId val="823097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097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5267364600425"/>
          <c:y val="0.92024539877300615"/>
          <c:w val="0.7463656138297737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19050</xdr:rowOff>
    </xdr:from>
    <xdr:to>
      <xdr:col>15</xdr:col>
      <xdr:colOff>247650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900A085-34B0-A658-4952-159FBCFCD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bav-astro.de/sfs/BAVM_link.php?BAVMnr=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ht="12.95" customHeight="1" x14ac:dyDescent="0.2">
      <c r="A2" t="s">
        <v>24</v>
      </c>
      <c r="B2" t="s">
        <v>28</v>
      </c>
    </row>
    <row r="3" spans="1:7" ht="12.95" customHeight="1" thickBot="1" x14ac:dyDescent="0.25"/>
    <row r="4" spans="1:7" ht="12.95" customHeight="1" thickTop="1" thickBot="1" x14ac:dyDescent="0.25">
      <c r="A4" s="6" t="s">
        <v>0</v>
      </c>
      <c r="C4" s="3">
        <v>44462.565000000002</v>
      </c>
      <c r="D4" s="4">
        <v>2.439012</v>
      </c>
    </row>
    <row r="5" spans="1:7" ht="12.95" customHeight="1" thickTop="1" x14ac:dyDescent="0.2"/>
    <row r="6" spans="1:7" ht="12.95" customHeight="1" x14ac:dyDescent="0.2">
      <c r="A6" s="6" t="s">
        <v>1</v>
      </c>
    </row>
    <row r="7" spans="1:7" ht="12.95" customHeight="1" x14ac:dyDescent="0.2">
      <c r="A7" t="s">
        <v>2</v>
      </c>
      <c r="C7">
        <f>+C4</f>
        <v>44462.565000000002</v>
      </c>
    </row>
    <row r="8" spans="1:7" ht="12.95" customHeight="1" x14ac:dyDescent="0.2">
      <c r="A8" t="s">
        <v>3</v>
      </c>
      <c r="C8">
        <f>+D4</f>
        <v>2.439012</v>
      </c>
    </row>
    <row r="9" spans="1:7" ht="12.95" customHeight="1" x14ac:dyDescent="0.2">
      <c r="A9" s="14" t="s">
        <v>33</v>
      </c>
      <c r="B9" s="15"/>
      <c r="C9" s="16">
        <v>-9.5</v>
      </c>
      <c r="D9" s="15" t="s">
        <v>34</v>
      </c>
      <c r="E9" s="15"/>
    </row>
    <row r="10" spans="1:7" ht="12.95" customHeight="1" thickBot="1" x14ac:dyDescent="0.25">
      <c r="A10" s="15"/>
      <c r="B10" s="15"/>
      <c r="C10" s="5" t="s">
        <v>20</v>
      </c>
      <c r="D10" s="5" t="s">
        <v>21</v>
      </c>
      <c r="E10" s="15"/>
    </row>
    <row r="11" spans="1:7" ht="12.95" customHeight="1" x14ac:dyDescent="0.2">
      <c r="A11" s="15" t="s">
        <v>16</v>
      </c>
      <c r="B11" s="15"/>
      <c r="C11" s="28">
        <f ca="1">INTERCEPT(INDIRECT($G$11):G992,INDIRECT($F$11):F992)</f>
        <v>-1.7956233064929994E-2</v>
      </c>
      <c r="D11" s="17"/>
      <c r="E11" s="15"/>
      <c r="F11" s="29" t="str">
        <f>"F"&amp;E19</f>
        <v>F21</v>
      </c>
      <c r="G11" s="30" t="str">
        <f>"G"&amp;E19</f>
        <v>G21</v>
      </c>
    </row>
    <row r="12" spans="1:7" ht="12.95" customHeight="1" x14ac:dyDescent="0.2">
      <c r="A12" s="15" t="s">
        <v>17</v>
      </c>
      <c r="B12" s="15"/>
      <c r="C12" s="28">
        <f ca="1">SLOPE(INDIRECT($G$11):G992,INDIRECT($F$11):F992)</f>
        <v>-4.864015823720491E-5</v>
      </c>
      <c r="D12" s="17"/>
      <c r="E12" s="15"/>
    </row>
    <row r="13" spans="1:7" ht="12.95" customHeight="1" x14ac:dyDescent="0.2">
      <c r="A13" s="15" t="s">
        <v>19</v>
      </c>
      <c r="B13" s="15"/>
      <c r="C13" s="17" t="s">
        <v>14</v>
      </c>
      <c r="D13" s="17"/>
      <c r="E13" s="15"/>
    </row>
    <row r="14" spans="1:7" ht="12.95" customHeight="1" x14ac:dyDescent="0.2">
      <c r="A14" s="15"/>
      <c r="B14" s="15"/>
      <c r="C14" s="15"/>
      <c r="D14" s="15"/>
      <c r="E14" s="15"/>
    </row>
    <row r="15" spans="1:7" ht="12.95" customHeight="1" x14ac:dyDescent="0.2">
      <c r="A15" s="18" t="s">
        <v>18</v>
      </c>
      <c r="B15" s="15"/>
      <c r="C15" s="19">
        <f ca="1">(C7+C11)+(C8+C12)*INT(MAX(F21:F3533))</f>
        <v>56152.498427488506</v>
      </c>
      <c r="D15" s="20" t="s">
        <v>35</v>
      </c>
      <c r="E15" s="21">
        <f ca="1">TODAY()+15018.5-B9/24</f>
        <v>60370.5</v>
      </c>
    </row>
    <row r="16" spans="1:7" ht="12.95" customHeight="1" x14ac:dyDescent="0.2">
      <c r="A16" s="22" t="s">
        <v>4</v>
      </c>
      <c r="B16" s="15"/>
      <c r="C16" s="23">
        <f ca="1">+C8+C12</f>
        <v>2.4389633598417628</v>
      </c>
      <c r="D16" s="20" t="s">
        <v>36</v>
      </c>
      <c r="E16" s="21">
        <f ca="1">ROUND(2*(E15-C15)/C16,0)/2+1</f>
        <v>1730.5</v>
      </c>
    </row>
    <row r="17" spans="1:17" ht="12.95" customHeight="1" thickBot="1" x14ac:dyDescent="0.25">
      <c r="A17" s="20" t="s">
        <v>30</v>
      </c>
      <c r="B17" s="15"/>
      <c r="C17" s="15">
        <f>COUNT(C21:C2191)</f>
        <v>19</v>
      </c>
      <c r="D17" s="20" t="s">
        <v>37</v>
      </c>
      <c r="E17" s="24">
        <f ca="1">+C15+C16*E16-15018.5-C9/24</f>
        <v>45355.020355028013</v>
      </c>
    </row>
    <row r="18" spans="1:17" ht="12.95" customHeight="1" x14ac:dyDescent="0.2">
      <c r="A18" s="22" t="s">
        <v>5</v>
      </c>
      <c r="B18" s="15"/>
      <c r="C18" s="25">
        <f ca="1">+C15</f>
        <v>56152.498427488506</v>
      </c>
      <c r="D18" s="26">
        <f ca="1">+C16</f>
        <v>2.4389633598417628</v>
      </c>
      <c r="E18" s="27" t="s">
        <v>38</v>
      </c>
    </row>
    <row r="19" spans="1:17" ht="12.95" customHeight="1" thickTop="1" x14ac:dyDescent="0.2">
      <c r="A19" s="31" t="s">
        <v>39</v>
      </c>
      <c r="E19" s="32">
        <v>21</v>
      </c>
    </row>
    <row r="20" spans="1:17" ht="12.95" customHeight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122</v>
      </c>
      <c r="J20" s="8" t="s">
        <v>45</v>
      </c>
      <c r="K20" s="8" t="s">
        <v>123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ht="12.95" customHeight="1" x14ac:dyDescent="0.2">
      <c r="A21" s="52" t="s">
        <v>59</v>
      </c>
      <c r="B21" s="54" t="s">
        <v>32</v>
      </c>
      <c r="C21" s="53">
        <v>43367.425000000003</v>
      </c>
      <c r="D21" s="13"/>
      <c r="E21" s="38">
        <f t="shared" ref="E21:E39" si="0">+(C21-C$7)/C$8</f>
        <v>-449.0096809691791</v>
      </c>
      <c r="F21">
        <f t="shared" ref="F21:F39" si="1">ROUND(2*E21,0)/2</f>
        <v>-449</v>
      </c>
      <c r="G21">
        <f t="shared" ref="G21:G39" si="2">+C21-(C$7+F21*C$8)</f>
        <v>-2.361199999722885E-2</v>
      </c>
      <c r="K21">
        <f t="shared" ref="K21:K30" si="3">+G21</f>
        <v>-2.361199999722885E-2</v>
      </c>
      <c r="O21">
        <f t="shared" ref="O21:O39" ca="1" si="4">+C$11+C$12*$F21</f>
        <v>3.8831979835750111E-3</v>
      </c>
      <c r="Q21" s="2">
        <f t="shared" ref="Q21:Q39" si="5">+C21-15018.5</f>
        <v>28348.925000000003</v>
      </c>
    </row>
    <row r="22" spans="1:17" ht="12.95" customHeight="1" x14ac:dyDescent="0.2">
      <c r="A22" s="52" t="s">
        <v>59</v>
      </c>
      <c r="B22" s="54" t="s">
        <v>32</v>
      </c>
      <c r="C22" s="53">
        <v>43372.347000000002</v>
      </c>
      <c r="D22" s="10"/>
      <c r="E22" s="38">
        <f t="shared" si="0"/>
        <v>-446.99165071758597</v>
      </c>
      <c r="F22">
        <f t="shared" si="1"/>
        <v>-447</v>
      </c>
      <c r="G22">
        <f t="shared" si="2"/>
        <v>2.0363999996334314E-2</v>
      </c>
      <c r="K22">
        <f t="shared" si="3"/>
        <v>2.0363999996334314E-2</v>
      </c>
      <c r="O22">
        <f t="shared" ca="1" si="4"/>
        <v>3.7859176671006002E-3</v>
      </c>
      <c r="Q22" s="2">
        <f t="shared" si="5"/>
        <v>28353.847000000002</v>
      </c>
    </row>
    <row r="23" spans="1:17" ht="12.95" customHeight="1" x14ac:dyDescent="0.2">
      <c r="A23" s="52" t="s">
        <v>59</v>
      </c>
      <c r="B23" s="54" t="s">
        <v>32</v>
      </c>
      <c r="C23" s="53">
        <v>43396.724999999999</v>
      </c>
      <c r="D23" s="10"/>
      <c r="E23" s="38">
        <f t="shared" si="0"/>
        <v>-436.99661994283088</v>
      </c>
      <c r="F23">
        <f t="shared" si="1"/>
        <v>-437</v>
      </c>
      <c r="G23">
        <f t="shared" si="2"/>
        <v>8.2439999969210476E-3</v>
      </c>
      <c r="K23">
        <f t="shared" si="3"/>
        <v>8.2439999969210476E-3</v>
      </c>
      <c r="O23">
        <f t="shared" ca="1" si="4"/>
        <v>3.2995160847285529E-3</v>
      </c>
      <c r="Q23" s="2">
        <f t="shared" si="5"/>
        <v>28378.224999999999</v>
      </c>
    </row>
    <row r="24" spans="1:17" ht="12.95" customHeight="1" x14ac:dyDescent="0.2">
      <c r="A24" s="52" t="s">
        <v>59</v>
      </c>
      <c r="B24" s="54" t="s">
        <v>32</v>
      </c>
      <c r="C24" s="53">
        <v>43401.574000000001</v>
      </c>
      <c r="D24" s="10"/>
      <c r="E24" s="38">
        <f t="shared" si="0"/>
        <v>-435.00851984328153</v>
      </c>
      <c r="F24">
        <f t="shared" si="1"/>
        <v>-435</v>
      </c>
      <c r="G24">
        <f t="shared" si="2"/>
        <v>-2.0779999998921994E-2</v>
      </c>
      <c r="K24">
        <f t="shared" si="3"/>
        <v>-2.0779999998921994E-2</v>
      </c>
      <c r="O24">
        <f t="shared" ca="1" si="4"/>
        <v>3.2022357682541421E-3</v>
      </c>
      <c r="Q24" s="2">
        <f t="shared" si="5"/>
        <v>28383.074000000001</v>
      </c>
    </row>
    <row r="25" spans="1:17" ht="12.95" customHeight="1" x14ac:dyDescent="0.2">
      <c r="A25" s="52" t="s">
        <v>59</v>
      </c>
      <c r="B25" s="54" t="s">
        <v>32</v>
      </c>
      <c r="C25" s="53">
        <v>43428.402999999998</v>
      </c>
      <c r="D25" s="10"/>
      <c r="E25" s="38">
        <f t="shared" si="0"/>
        <v>-424.00857396355735</v>
      </c>
      <c r="F25">
        <f t="shared" si="1"/>
        <v>-424</v>
      </c>
      <c r="G25">
        <f t="shared" si="2"/>
        <v>-2.0912000007228926E-2</v>
      </c>
      <c r="K25">
        <f t="shared" si="3"/>
        <v>-2.0912000007228926E-2</v>
      </c>
      <c r="O25">
        <f t="shared" ca="1" si="4"/>
        <v>2.6671940276448876E-3</v>
      </c>
      <c r="Q25" s="2">
        <f t="shared" si="5"/>
        <v>28409.902999999998</v>
      </c>
    </row>
    <row r="26" spans="1:17" ht="12.95" customHeight="1" x14ac:dyDescent="0.2">
      <c r="A26" s="52" t="s">
        <v>59</v>
      </c>
      <c r="B26" s="54" t="s">
        <v>32</v>
      </c>
      <c r="C26" s="53">
        <v>43718.680999999997</v>
      </c>
      <c r="D26" s="10"/>
      <c r="E26" s="38">
        <f t="shared" si="0"/>
        <v>-304.99398936946824</v>
      </c>
      <c r="F26">
        <f t="shared" si="1"/>
        <v>-305</v>
      </c>
      <c r="G26">
        <f t="shared" si="2"/>
        <v>1.4659999993455131E-2</v>
      </c>
      <c r="K26">
        <f t="shared" si="3"/>
        <v>1.4659999993455131E-2</v>
      </c>
      <c r="O26">
        <f t="shared" ca="1" si="4"/>
        <v>-3.1209848025824972E-3</v>
      </c>
      <c r="Q26" s="2">
        <f t="shared" si="5"/>
        <v>28700.180999999997</v>
      </c>
    </row>
    <row r="27" spans="1:17" ht="12.95" customHeight="1" x14ac:dyDescent="0.2">
      <c r="A27" s="52" t="s">
        <v>59</v>
      </c>
      <c r="B27" s="54" t="s">
        <v>32</v>
      </c>
      <c r="C27" s="53">
        <v>43733.296000000002</v>
      </c>
      <c r="D27" s="10"/>
      <c r="E27" s="38">
        <f t="shared" si="0"/>
        <v>-299.00180892918945</v>
      </c>
      <c r="F27">
        <f t="shared" si="1"/>
        <v>-299</v>
      </c>
      <c r="G27">
        <f t="shared" si="2"/>
        <v>-4.412000002048444E-3</v>
      </c>
      <c r="K27">
        <f t="shared" si="3"/>
        <v>-4.412000002048444E-3</v>
      </c>
      <c r="O27">
        <f t="shared" ca="1" si="4"/>
        <v>-3.4128257520057263E-3</v>
      </c>
      <c r="Q27" s="2">
        <f t="shared" si="5"/>
        <v>28714.796000000002</v>
      </c>
    </row>
    <row r="28" spans="1:17" ht="12.95" customHeight="1" x14ac:dyDescent="0.2">
      <c r="A28" s="52" t="s">
        <v>59</v>
      </c>
      <c r="B28" s="54" t="s">
        <v>32</v>
      </c>
      <c r="C28" s="53">
        <v>43767.413</v>
      </c>
      <c r="D28" s="10"/>
      <c r="E28" s="38">
        <f t="shared" si="0"/>
        <v>-285.01376786994155</v>
      </c>
      <c r="F28">
        <f t="shared" si="1"/>
        <v>-285</v>
      </c>
      <c r="G28">
        <f t="shared" si="2"/>
        <v>-3.3580000002984889E-2</v>
      </c>
      <c r="K28">
        <f t="shared" si="3"/>
        <v>-3.3580000002984889E-2</v>
      </c>
      <c r="O28">
        <f t="shared" ca="1" si="4"/>
        <v>-4.0937879673265953E-3</v>
      </c>
      <c r="Q28" s="2">
        <f t="shared" si="5"/>
        <v>28748.913</v>
      </c>
    </row>
    <row r="29" spans="1:17" ht="12.95" customHeight="1" x14ac:dyDescent="0.2">
      <c r="A29" s="52" t="s">
        <v>59</v>
      </c>
      <c r="B29" s="54" t="s">
        <v>32</v>
      </c>
      <c r="C29" s="53">
        <v>43784.525999999998</v>
      </c>
      <c r="D29" s="10"/>
      <c r="E29" s="38">
        <f t="shared" si="0"/>
        <v>-277.99740222680509</v>
      </c>
      <c r="F29">
        <f t="shared" si="1"/>
        <v>-278</v>
      </c>
      <c r="G29">
        <f t="shared" si="2"/>
        <v>6.335999998555053E-3</v>
      </c>
      <c r="K29">
        <f t="shared" si="3"/>
        <v>6.335999998555053E-3</v>
      </c>
      <c r="O29">
        <f t="shared" ca="1" si="4"/>
        <v>-4.4342690749870298E-3</v>
      </c>
      <c r="Q29" s="2">
        <f t="shared" si="5"/>
        <v>28766.025999999998</v>
      </c>
    </row>
    <row r="30" spans="1:17" ht="12.95" customHeight="1" x14ac:dyDescent="0.2">
      <c r="A30" s="52" t="s">
        <v>59</v>
      </c>
      <c r="B30" s="54" t="s">
        <v>32</v>
      </c>
      <c r="C30" s="53">
        <v>43789.394</v>
      </c>
      <c r="D30" s="10"/>
      <c r="E30" s="38">
        <f t="shared" si="0"/>
        <v>-276.00151208768227</v>
      </c>
      <c r="F30">
        <f t="shared" si="1"/>
        <v>-276</v>
      </c>
      <c r="G30">
        <f t="shared" si="2"/>
        <v>-3.6880000043311156E-3</v>
      </c>
      <c r="K30">
        <f t="shared" si="3"/>
        <v>-3.6880000043311156E-3</v>
      </c>
      <c r="O30">
        <f t="shared" ca="1" si="4"/>
        <v>-4.531549391461439E-3</v>
      </c>
      <c r="Q30" s="2">
        <f t="shared" si="5"/>
        <v>28770.894</v>
      </c>
    </row>
    <row r="31" spans="1:17" x14ac:dyDescent="0.2">
      <c r="A31" t="s">
        <v>12</v>
      </c>
      <c r="C31" s="10">
        <v>44462.565000000002</v>
      </c>
      <c r="D31" s="10" t="s">
        <v>14</v>
      </c>
      <c r="E31">
        <f t="shared" si="0"/>
        <v>0</v>
      </c>
      <c r="F31">
        <f t="shared" si="1"/>
        <v>0</v>
      </c>
      <c r="G31">
        <f t="shared" si="2"/>
        <v>0</v>
      </c>
      <c r="H31">
        <f>+G31</f>
        <v>0</v>
      </c>
      <c r="O31">
        <f t="shared" ca="1" si="4"/>
        <v>-1.7956233064929994E-2</v>
      </c>
      <c r="Q31" s="2">
        <f t="shared" si="5"/>
        <v>29444.065000000002</v>
      </c>
    </row>
    <row r="32" spans="1:17" x14ac:dyDescent="0.2">
      <c r="A32" s="11" t="s">
        <v>31</v>
      </c>
      <c r="B32" s="12" t="s">
        <v>32</v>
      </c>
      <c r="C32" s="13">
        <v>47767.394</v>
      </c>
      <c r="D32" s="13">
        <v>5.0000000000000001E-3</v>
      </c>
      <c r="E32">
        <f t="shared" si="0"/>
        <v>1354.9867733328076</v>
      </c>
      <c r="F32">
        <f t="shared" si="1"/>
        <v>1355</v>
      </c>
      <c r="G32">
        <f t="shared" si="2"/>
        <v>-3.2259999999951106E-2</v>
      </c>
      <c r="J32">
        <f>+G32</f>
        <v>-3.2259999999951106E-2</v>
      </c>
      <c r="O32">
        <f t="shared" ca="1" si="4"/>
        <v>-8.3863647476342645E-2</v>
      </c>
      <c r="Q32" s="2">
        <f t="shared" si="5"/>
        <v>32748.894</v>
      </c>
    </row>
    <row r="33" spans="1:17" x14ac:dyDescent="0.2">
      <c r="A33" s="52" t="s">
        <v>96</v>
      </c>
      <c r="B33" s="54" t="s">
        <v>32</v>
      </c>
      <c r="C33" s="53">
        <v>51757.491300000002</v>
      </c>
      <c r="D33" s="10"/>
      <c r="E33" s="38">
        <f t="shared" si="0"/>
        <v>2990.9349769496826</v>
      </c>
      <c r="F33">
        <f t="shared" si="1"/>
        <v>2991</v>
      </c>
      <c r="G33">
        <f t="shared" si="2"/>
        <v>-0.15859199999977136</v>
      </c>
      <c r="K33">
        <f>+G33</f>
        <v>-0.15859199999977136</v>
      </c>
      <c r="O33">
        <f t="shared" ca="1" si="4"/>
        <v>-0.16343894635240988</v>
      </c>
      <c r="Q33" s="2">
        <f t="shared" si="5"/>
        <v>36738.991300000002</v>
      </c>
    </row>
    <row r="34" spans="1:17" x14ac:dyDescent="0.2">
      <c r="A34" s="52" t="s">
        <v>100</v>
      </c>
      <c r="B34" s="54" t="s">
        <v>32</v>
      </c>
      <c r="C34" s="53">
        <v>51884.313000000002</v>
      </c>
      <c r="D34" s="10"/>
      <c r="E34" s="38">
        <f t="shared" si="0"/>
        <v>3042.9321380952615</v>
      </c>
      <c r="F34">
        <f t="shared" si="1"/>
        <v>3043</v>
      </c>
      <c r="G34">
        <f t="shared" si="2"/>
        <v>-0.16551600000093458</v>
      </c>
      <c r="K34">
        <f>+G34</f>
        <v>-0.16551600000093458</v>
      </c>
      <c r="O34">
        <f t="shared" ca="1" si="4"/>
        <v>-0.16596823458074453</v>
      </c>
      <c r="Q34" s="2">
        <f t="shared" si="5"/>
        <v>36865.813000000002</v>
      </c>
    </row>
    <row r="35" spans="1:17" x14ac:dyDescent="0.2">
      <c r="A35" s="9" t="s">
        <v>29</v>
      </c>
      <c r="B35" s="36"/>
      <c r="C35" s="37">
        <v>52118.454400000002</v>
      </c>
      <c r="D35" s="37">
        <v>5.0000000000000001E-4</v>
      </c>
      <c r="E35" s="38">
        <f t="shared" si="0"/>
        <v>3138.9305997674469</v>
      </c>
      <c r="F35">
        <f t="shared" si="1"/>
        <v>3139</v>
      </c>
      <c r="G35">
        <f t="shared" si="2"/>
        <v>-0.16926799999782816</v>
      </c>
      <c r="J35">
        <f>+G35</f>
        <v>-0.16926799999782816</v>
      </c>
      <c r="O35">
        <f t="shared" ca="1" si="4"/>
        <v>-0.17063768977151619</v>
      </c>
      <c r="Q35" s="2">
        <f t="shared" si="5"/>
        <v>37099.954400000002</v>
      </c>
    </row>
    <row r="36" spans="1:17" x14ac:dyDescent="0.2">
      <c r="A36" s="11" t="s">
        <v>31</v>
      </c>
      <c r="B36" s="12" t="s">
        <v>32</v>
      </c>
      <c r="C36" s="13">
        <v>52535.518700000001</v>
      </c>
      <c r="D36" s="13">
        <v>1.1000000000000001E-3</v>
      </c>
      <c r="E36" s="38">
        <f t="shared" si="0"/>
        <v>3309.9278314333828</v>
      </c>
      <c r="F36">
        <f t="shared" si="1"/>
        <v>3310</v>
      </c>
      <c r="G36">
        <f t="shared" si="2"/>
        <v>-0.17601999999897089</v>
      </c>
      <c r="J36">
        <f>+G36</f>
        <v>-0.17601999999897089</v>
      </c>
      <c r="O36">
        <f t="shared" ca="1" si="4"/>
        <v>-0.17895515683007823</v>
      </c>
      <c r="Q36" s="2">
        <f t="shared" si="5"/>
        <v>37517.018700000001</v>
      </c>
    </row>
    <row r="37" spans="1:17" x14ac:dyDescent="0.2">
      <c r="A37" s="52" t="s">
        <v>116</v>
      </c>
      <c r="B37" s="54" t="s">
        <v>32</v>
      </c>
      <c r="C37" s="53">
        <v>54318.401599999997</v>
      </c>
      <c r="D37" s="10"/>
      <c r="E37" s="38">
        <f t="shared" si="0"/>
        <v>4040.91353384075</v>
      </c>
      <c r="F37">
        <f t="shared" si="1"/>
        <v>4041</v>
      </c>
      <c r="G37">
        <f t="shared" si="2"/>
        <v>-0.21089200000278652</v>
      </c>
      <c r="K37">
        <f>+G37</f>
        <v>-0.21089200000278652</v>
      </c>
      <c r="O37">
        <f t="shared" ca="1" si="4"/>
        <v>-0.21451111250147503</v>
      </c>
      <c r="Q37" s="2">
        <f t="shared" si="5"/>
        <v>39299.901599999997</v>
      </c>
    </row>
    <row r="38" spans="1:17" x14ac:dyDescent="0.2">
      <c r="A38" s="11" t="s">
        <v>40</v>
      </c>
      <c r="B38" s="12" t="s">
        <v>32</v>
      </c>
      <c r="C38" s="13">
        <v>54318.401610000001</v>
      </c>
      <c r="D38" s="13">
        <v>1E-4</v>
      </c>
      <c r="E38" s="38">
        <f t="shared" si="0"/>
        <v>4040.9135379407721</v>
      </c>
      <c r="F38">
        <f t="shared" si="1"/>
        <v>4041</v>
      </c>
      <c r="G38">
        <f t="shared" si="2"/>
        <v>-0.21088199999940116</v>
      </c>
      <c r="J38">
        <f>+G38</f>
        <v>-0.21088199999940116</v>
      </c>
      <c r="O38">
        <f t="shared" ca="1" si="4"/>
        <v>-0.21451111250147503</v>
      </c>
      <c r="Q38" s="2">
        <f t="shared" si="5"/>
        <v>39299.901610000001</v>
      </c>
    </row>
    <row r="39" spans="1:17" x14ac:dyDescent="0.2">
      <c r="A39" s="33" t="s">
        <v>41</v>
      </c>
      <c r="B39" s="34" t="s">
        <v>32</v>
      </c>
      <c r="C39" s="35">
        <v>56152.466639999999</v>
      </c>
      <c r="D39" s="35">
        <v>2.0000000000000001E-4</v>
      </c>
      <c r="E39" s="38">
        <f t="shared" si="0"/>
        <v>4792.8840202508218</v>
      </c>
      <c r="F39">
        <f t="shared" si="1"/>
        <v>4793</v>
      </c>
      <c r="G39">
        <f t="shared" si="2"/>
        <v>-0.28287600000476232</v>
      </c>
      <c r="J39">
        <f>+G39</f>
        <v>-0.28287600000476232</v>
      </c>
      <c r="O39">
        <f t="shared" ca="1" si="4"/>
        <v>-0.2510885114958531</v>
      </c>
      <c r="Q39" s="2">
        <f t="shared" si="5"/>
        <v>41133.966639999999</v>
      </c>
    </row>
    <row r="40" spans="1:17" x14ac:dyDescent="0.2">
      <c r="B40" s="17"/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3"/>
  <sheetViews>
    <sheetView topLeftCell="A5" workbookViewId="0">
      <selection activeCell="A15" sqref="A15:C27"/>
    </sheetView>
  </sheetViews>
  <sheetFormatPr defaultRowHeight="12.75" x14ac:dyDescent="0.2"/>
  <cols>
    <col min="1" max="1" width="19.7109375" style="10" customWidth="1"/>
    <col min="2" max="2" width="4.42578125" style="15" customWidth="1"/>
    <col min="3" max="3" width="12.7109375" style="10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0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9" t="s">
        <v>43</v>
      </c>
      <c r="I1" s="40" t="s">
        <v>44</v>
      </c>
      <c r="J1" s="41" t="s">
        <v>45</v>
      </c>
    </row>
    <row r="2" spans="1:16" x14ac:dyDescent="0.2">
      <c r="I2" s="42" t="s">
        <v>46</v>
      </c>
      <c r="J2" s="43" t="s">
        <v>47</v>
      </c>
    </row>
    <row r="3" spans="1:16" x14ac:dyDescent="0.2">
      <c r="A3" s="44" t="s">
        <v>48</v>
      </c>
      <c r="I3" s="42" t="s">
        <v>49</v>
      </c>
      <c r="J3" s="43" t="s">
        <v>50</v>
      </c>
    </row>
    <row r="4" spans="1:16" x14ac:dyDescent="0.2">
      <c r="I4" s="42" t="s">
        <v>51</v>
      </c>
      <c r="J4" s="43" t="s">
        <v>50</v>
      </c>
    </row>
    <row r="5" spans="1:16" ht="13.5" thickBot="1" x14ac:dyDescent="0.25">
      <c r="I5" s="45" t="s">
        <v>52</v>
      </c>
      <c r="J5" s="46" t="s">
        <v>53</v>
      </c>
    </row>
    <row r="10" spans="1:16" ht="13.5" thickBot="1" x14ac:dyDescent="0.25"/>
    <row r="11" spans="1:16" ht="12.75" customHeight="1" thickBot="1" x14ac:dyDescent="0.25">
      <c r="A11" s="10" t="str">
        <f t="shared" ref="A11:A27" si="0">P11</f>
        <v> BBS 129 </v>
      </c>
      <c r="B11" s="17" t="str">
        <f t="shared" ref="B11:B27" si="1">IF(H11=INT(H11),"I","II")</f>
        <v>I</v>
      </c>
      <c r="C11" s="10">
        <f t="shared" ref="C11:C27" si="2">1*G11</f>
        <v>47767.394</v>
      </c>
      <c r="D11" s="15" t="str">
        <f t="shared" ref="D11:D27" si="3">VLOOKUP(F11,I$1:J$5,2,FALSE)</f>
        <v>vis</v>
      </c>
      <c r="E11" s="47">
        <f>VLOOKUP(C11,Active!C$21:E$973,3,FALSE)</f>
        <v>1354.9867733328076</v>
      </c>
      <c r="F11" s="17" t="s">
        <v>52</v>
      </c>
      <c r="G11" s="15" t="str">
        <f t="shared" ref="G11:G27" si="4">MID(I11,3,LEN(I11)-3)</f>
        <v>47767.394</v>
      </c>
      <c r="H11" s="10">
        <f t="shared" ref="H11:H27" si="5">1*K11</f>
        <v>1355</v>
      </c>
      <c r="I11" s="48" t="s">
        <v>85</v>
      </c>
      <c r="J11" s="49" t="s">
        <v>86</v>
      </c>
      <c r="K11" s="48">
        <v>1355</v>
      </c>
      <c r="L11" s="48" t="s">
        <v>87</v>
      </c>
      <c r="M11" s="49" t="s">
        <v>57</v>
      </c>
      <c r="N11" s="49"/>
      <c r="O11" s="50" t="s">
        <v>88</v>
      </c>
      <c r="P11" s="50" t="s">
        <v>89</v>
      </c>
    </row>
    <row r="12" spans="1:16" ht="12.75" customHeight="1" thickBot="1" x14ac:dyDescent="0.25">
      <c r="A12" s="10" t="str">
        <f t="shared" si="0"/>
        <v>BAVM 152 </v>
      </c>
      <c r="B12" s="17" t="str">
        <f t="shared" si="1"/>
        <v>I</v>
      </c>
      <c r="C12" s="10">
        <f t="shared" si="2"/>
        <v>52118.454400000002</v>
      </c>
      <c r="D12" s="15" t="str">
        <f t="shared" si="3"/>
        <v>vis</v>
      </c>
      <c r="E12" s="47">
        <f>VLOOKUP(C12,Active!C$21:E$973,3,FALSE)</f>
        <v>3138.9305997674469</v>
      </c>
      <c r="F12" s="17" t="s">
        <v>52</v>
      </c>
      <c r="G12" s="15" t="str">
        <f t="shared" si="4"/>
        <v>52118.4544</v>
      </c>
      <c r="H12" s="10">
        <f t="shared" si="5"/>
        <v>3139</v>
      </c>
      <c r="I12" s="48" t="s">
        <v>101</v>
      </c>
      <c r="J12" s="49" t="s">
        <v>102</v>
      </c>
      <c r="K12" s="48">
        <v>3139</v>
      </c>
      <c r="L12" s="48" t="s">
        <v>103</v>
      </c>
      <c r="M12" s="49" t="s">
        <v>93</v>
      </c>
      <c r="N12" s="49" t="s">
        <v>104</v>
      </c>
      <c r="O12" s="50" t="s">
        <v>105</v>
      </c>
      <c r="P12" s="51" t="s">
        <v>106</v>
      </c>
    </row>
    <row r="13" spans="1:16" ht="12.75" customHeight="1" thickBot="1" x14ac:dyDescent="0.25">
      <c r="A13" s="10" t="str">
        <f t="shared" si="0"/>
        <v> BBS 129 </v>
      </c>
      <c r="B13" s="17" t="str">
        <f t="shared" si="1"/>
        <v>I</v>
      </c>
      <c r="C13" s="10">
        <f t="shared" si="2"/>
        <v>52535.518700000001</v>
      </c>
      <c r="D13" s="15" t="str">
        <f t="shared" si="3"/>
        <v>vis</v>
      </c>
      <c r="E13" s="47">
        <f>VLOOKUP(C13,Active!C$21:E$973,3,FALSE)</f>
        <v>3309.9278314333828</v>
      </c>
      <c r="F13" s="17" t="s">
        <v>52</v>
      </c>
      <c r="G13" s="15" t="str">
        <f t="shared" si="4"/>
        <v>52535.5187</v>
      </c>
      <c r="H13" s="10">
        <f t="shared" si="5"/>
        <v>3310</v>
      </c>
      <c r="I13" s="48" t="s">
        <v>107</v>
      </c>
      <c r="J13" s="49" t="s">
        <v>108</v>
      </c>
      <c r="K13" s="48">
        <v>3310</v>
      </c>
      <c r="L13" s="48" t="s">
        <v>109</v>
      </c>
      <c r="M13" s="49" t="s">
        <v>93</v>
      </c>
      <c r="N13" s="49" t="s">
        <v>94</v>
      </c>
      <c r="O13" s="50" t="s">
        <v>95</v>
      </c>
      <c r="P13" s="50" t="s">
        <v>89</v>
      </c>
    </row>
    <row r="14" spans="1:16" ht="12.75" customHeight="1" thickBot="1" x14ac:dyDescent="0.25">
      <c r="A14" s="10" t="str">
        <f t="shared" si="0"/>
        <v>OEJV 0160 </v>
      </c>
      <c r="B14" s="17" t="str">
        <f t="shared" si="1"/>
        <v>I</v>
      </c>
      <c r="C14" s="10">
        <f t="shared" si="2"/>
        <v>56152.466639999999</v>
      </c>
      <c r="D14" s="15" t="str">
        <f t="shared" si="3"/>
        <v>vis</v>
      </c>
      <c r="E14" s="47">
        <f>VLOOKUP(C14,Active!C$21:E$973,3,FALSE)</f>
        <v>4792.8840202508218</v>
      </c>
      <c r="F14" s="17" t="s">
        <v>52</v>
      </c>
      <c r="G14" s="15" t="str">
        <f t="shared" si="4"/>
        <v>56152.46664</v>
      </c>
      <c r="H14" s="10">
        <f t="shared" si="5"/>
        <v>4793</v>
      </c>
      <c r="I14" s="48" t="s">
        <v>117</v>
      </c>
      <c r="J14" s="49" t="s">
        <v>118</v>
      </c>
      <c r="K14" s="48">
        <v>4793</v>
      </c>
      <c r="L14" s="48" t="s">
        <v>119</v>
      </c>
      <c r="M14" s="49" t="s">
        <v>113</v>
      </c>
      <c r="N14" s="49" t="s">
        <v>44</v>
      </c>
      <c r="O14" s="50" t="s">
        <v>120</v>
      </c>
      <c r="P14" s="51" t="s">
        <v>121</v>
      </c>
    </row>
    <row r="15" spans="1:16" ht="12.75" customHeight="1" thickBot="1" x14ac:dyDescent="0.25">
      <c r="A15" s="10" t="str">
        <f t="shared" si="0"/>
        <v> GEOS 1 </v>
      </c>
      <c r="B15" s="17" t="str">
        <f t="shared" si="1"/>
        <v>I</v>
      </c>
      <c r="C15" s="10">
        <f t="shared" si="2"/>
        <v>43367.425000000003</v>
      </c>
      <c r="D15" s="15" t="str">
        <f t="shared" si="3"/>
        <v>vis</v>
      </c>
      <c r="E15" s="47">
        <f>VLOOKUP(C15,Active!C$21:E$973,3,FALSE)</f>
        <v>-449.0096809691791</v>
      </c>
      <c r="F15" s="17" t="s">
        <v>52</v>
      </c>
      <c r="G15" s="15" t="str">
        <f t="shared" si="4"/>
        <v>43367.425</v>
      </c>
      <c r="H15" s="10">
        <f t="shared" si="5"/>
        <v>-449</v>
      </c>
      <c r="I15" s="48" t="s">
        <v>54</v>
      </c>
      <c r="J15" s="49" t="s">
        <v>55</v>
      </c>
      <c r="K15" s="48">
        <v>-449</v>
      </c>
      <c r="L15" s="48" t="s">
        <v>56</v>
      </c>
      <c r="M15" s="49" t="s">
        <v>57</v>
      </c>
      <c r="N15" s="49"/>
      <c r="O15" s="50" t="s">
        <v>58</v>
      </c>
      <c r="P15" s="50" t="s">
        <v>59</v>
      </c>
    </row>
    <row r="16" spans="1:16" ht="12.75" customHeight="1" thickBot="1" x14ac:dyDescent="0.25">
      <c r="A16" s="10" t="str">
        <f t="shared" si="0"/>
        <v> GEOS 1 </v>
      </c>
      <c r="B16" s="17" t="str">
        <f t="shared" si="1"/>
        <v>I</v>
      </c>
      <c r="C16" s="10">
        <f t="shared" si="2"/>
        <v>43372.347000000002</v>
      </c>
      <c r="D16" s="15" t="str">
        <f t="shared" si="3"/>
        <v>vis</v>
      </c>
      <c r="E16" s="47">
        <f>VLOOKUP(C16,Active!C$21:E$973,3,FALSE)</f>
        <v>-446.99165071758597</v>
      </c>
      <c r="F16" s="17" t="s">
        <v>52</v>
      </c>
      <c r="G16" s="15" t="str">
        <f t="shared" si="4"/>
        <v>43372.347</v>
      </c>
      <c r="H16" s="10">
        <f t="shared" si="5"/>
        <v>-447</v>
      </c>
      <c r="I16" s="48" t="s">
        <v>60</v>
      </c>
      <c r="J16" s="49" t="s">
        <v>61</v>
      </c>
      <c r="K16" s="48">
        <v>-447</v>
      </c>
      <c r="L16" s="48" t="s">
        <v>62</v>
      </c>
      <c r="M16" s="49" t="s">
        <v>57</v>
      </c>
      <c r="N16" s="49"/>
      <c r="O16" s="50" t="s">
        <v>58</v>
      </c>
      <c r="P16" s="50" t="s">
        <v>59</v>
      </c>
    </row>
    <row r="17" spans="1:16" ht="12.75" customHeight="1" thickBot="1" x14ac:dyDescent="0.25">
      <c r="A17" s="10" t="str">
        <f t="shared" si="0"/>
        <v> GEOS 1 </v>
      </c>
      <c r="B17" s="17" t="str">
        <f t="shared" si="1"/>
        <v>I</v>
      </c>
      <c r="C17" s="10">
        <f t="shared" si="2"/>
        <v>43396.724999999999</v>
      </c>
      <c r="D17" s="15" t="str">
        <f t="shared" si="3"/>
        <v>vis</v>
      </c>
      <c r="E17" s="47">
        <f>VLOOKUP(C17,Active!C$21:E$973,3,FALSE)</f>
        <v>-436.99661994283088</v>
      </c>
      <c r="F17" s="17" t="s">
        <v>52</v>
      </c>
      <c r="G17" s="15" t="str">
        <f t="shared" si="4"/>
        <v>43396.725</v>
      </c>
      <c r="H17" s="10">
        <f t="shared" si="5"/>
        <v>-437</v>
      </c>
      <c r="I17" s="48" t="s">
        <v>63</v>
      </c>
      <c r="J17" s="49" t="s">
        <v>64</v>
      </c>
      <c r="K17" s="48">
        <v>-437</v>
      </c>
      <c r="L17" s="48" t="s">
        <v>65</v>
      </c>
      <c r="M17" s="49" t="s">
        <v>57</v>
      </c>
      <c r="N17" s="49"/>
      <c r="O17" s="50" t="s">
        <v>58</v>
      </c>
      <c r="P17" s="50" t="s">
        <v>59</v>
      </c>
    </row>
    <row r="18" spans="1:16" ht="12.75" customHeight="1" thickBot="1" x14ac:dyDescent="0.25">
      <c r="A18" s="10" t="str">
        <f t="shared" si="0"/>
        <v> GEOS 1 </v>
      </c>
      <c r="B18" s="17" t="str">
        <f t="shared" si="1"/>
        <v>I</v>
      </c>
      <c r="C18" s="10">
        <f t="shared" si="2"/>
        <v>43401.574000000001</v>
      </c>
      <c r="D18" s="15" t="str">
        <f t="shared" si="3"/>
        <v>vis</v>
      </c>
      <c r="E18" s="47">
        <f>VLOOKUP(C18,Active!C$21:E$973,3,FALSE)</f>
        <v>-435.00851984328153</v>
      </c>
      <c r="F18" s="17" t="s">
        <v>52</v>
      </c>
      <c r="G18" s="15" t="str">
        <f t="shared" si="4"/>
        <v>43401.574</v>
      </c>
      <c r="H18" s="10">
        <f t="shared" si="5"/>
        <v>-435</v>
      </c>
      <c r="I18" s="48" t="s">
        <v>66</v>
      </c>
      <c r="J18" s="49" t="s">
        <v>67</v>
      </c>
      <c r="K18" s="48">
        <v>-435</v>
      </c>
      <c r="L18" s="48" t="s">
        <v>68</v>
      </c>
      <c r="M18" s="49" t="s">
        <v>57</v>
      </c>
      <c r="N18" s="49"/>
      <c r="O18" s="50" t="s">
        <v>58</v>
      </c>
      <c r="P18" s="50" t="s">
        <v>59</v>
      </c>
    </row>
    <row r="19" spans="1:16" ht="12.75" customHeight="1" thickBot="1" x14ac:dyDescent="0.25">
      <c r="A19" s="10" t="str">
        <f t="shared" si="0"/>
        <v> GEOS 1 </v>
      </c>
      <c r="B19" s="17" t="str">
        <f t="shared" si="1"/>
        <v>I</v>
      </c>
      <c r="C19" s="10">
        <f t="shared" si="2"/>
        <v>43428.402999999998</v>
      </c>
      <c r="D19" s="15" t="str">
        <f t="shared" si="3"/>
        <v>vis</v>
      </c>
      <c r="E19" s="47">
        <f>VLOOKUP(C19,Active!C$21:E$973,3,FALSE)</f>
        <v>-424.00857396355735</v>
      </c>
      <c r="F19" s="17" t="s">
        <v>52</v>
      </c>
      <c r="G19" s="15" t="str">
        <f t="shared" si="4"/>
        <v>43428.403</v>
      </c>
      <c r="H19" s="10">
        <f t="shared" si="5"/>
        <v>-424</v>
      </c>
      <c r="I19" s="48" t="s">
        <v>69</v>
      </c>
      <c r="J19" s="49" t="s">
        <v>70</v>
      </c>
      <c r="K19" s="48">
        <v>-424</v>
      </c>
      <c r="L19" s="48" t="s">
        <v>68</v>
      </c>
      <c r="M19" s="49" t="s">
        <v>57</v>
      </c>
      <c r="N19" s="49"/>
      <c r="O19" s="50" t="s">
        <v>58</v>
      </c>
      <c r="P19" s="50" t="s">
        <v>59</v>
      </c>
    </row>
    <row r="20" spans="1:16" ht="12.75" customHeight="1" thickBot="1" x14ac:dyDescent="0.25">
      <c r="A20" s="10" t="str">
        <f t="shared" si="0"/>
        <v> GEOS 1 </v>
      </c>
      <c r="B20" s="17" t="str">
        <f t="shared" si="1"/>
        <v>I</v>
      </c>
      <c r="C20" s="10">
        <f t="shared" si="2"/>
        <v>43718.680999999997</v>
      </c>
      <c r="D20" s="15" t="str">
        <f t="shared" si="3"/>
        <v>vis</v>
      </c>
      <c r="E20" s="47">
        <f>VLOOKUP(C20,Active!C$21:E$973,3,FALSE)</f>
        <v>-304.99398936946824</v>
      </c>
      <c r="F20" s="17" t="s">
        <v>52</v>
      </c>
      <c r="G20" s="15" t="str">
        <f t="shared" si="4"/>
        <v>43718.681</v>
      </c>
      <c r="H20" s="10">
        <f t="shared" si="5"/>
        <v>-305</v>
      </c>
      <c r="I20" s="48" t="s">
        <v>71</v>
      </c>
      <c r="J20" s="49" t="s">
        <v>72</v>
      </c>
      <c r="K20" s="48">
        <v>-305</v>
      </c>
      <c r="L20" s="48" t="s">
        <v>73</v>
      </c>
      <c r="M20" s="49" t="s">
        <v>57</v>
      </c>
      <c r="N20" s="49"/>
      <c r="O20" s="50" t="s">
        <v>58</v>
      </c>
      <c r="P20" s="50" t="s">
        <v>59</v>
      </c>
    </row>
    <row r="21" spans="1:16" ht="12.75" customHeight="1" thickBot="1" x14ac:dyDescent="0.25">
      <c r="A21" s="10" t="str">
        <f t="shared" si="0"/>
        <v> GEOS 1 </v>
      </c>
      <c r="B21" s="17" t="str">
        <f t="shared" si="1"/>
        <v>I</v>
      </c>
      <c r="C21" s="10">
        <f t="shared" si="2"/>
        <v>43733.296000000002</v>
      </c>
      <c r="D21" s="15" t="str">
        <f t="shared" si="3"/>
        <v>vis</v>
      </c>
      <c r="E21" s="47">
        <f>VLOOKUP(C21,Active!C$21:E$973,3,FALSE)</f>
        <v>-299.00180892918945</v>
      </c>
      <c r="F21" s="17" t="s">
        <v>52</v>
      </c>
      <c r="G21" s="15" t="str">
        <f t="shared" si="4"/>
        <v>43733.296</v>
      </c>
      <c r="H21" s="10">
        <f t="shared" si="5"/>
        <v>-299</v>
      </c>
      <c r="I21" s="48" t="s">
        <v>74</v>
      </c>
      <c r="J21" s="49" t="s">
        <v>75</v>
      </c>
      <c r="K21" s="48">
        <v>-299</v>
      </c>
      <c r="L21" s="48" t="s">
        <v>76</v>
      </c>
      <c r="M21" s="49" t="s">
        <v>57</v>
      </c>
      <c r="N21" s="49"/>
      <c r="O21" s="50" t="s">
        <v>58</v>
      </c>
      <c r="P21" s="50" t="s">
        <v>59</v>
      </c>
    </row>
    <row r="22" spans="1:16" ht="12.75" customHeight="1" thickBot="1" x14ac:dyDescent="0.25">
      <c r="A22" s="10" t="str">
        <f t="shared" si="0"/>
        <v> GEOS 1 </v>
      </c>
      <c r="B22" s="17" t="str">
        <f t="shared" si="1"/>
        <v>I</v>
      </c>
      <c r="C22" s="10">
        <f t="shared" si="2"/>
        <v>43767.413</v>
      </c>
      <c r="D22" s="15" t="str">
        <f t="shared" si="3"/>
        <v>vis</v>
      </c>
      <c r="E22" s="47">
        <f>VLOOKUP(C22,Active!C$21:E$973,3,FALSE)</f>
        <v>-285.01376786994155</v>
      </c>
      <c r="F22" s="17" t="s">
        <v>52</v>
      </c>
      <c r="G22" s="15" t="str">
        <f t="shared" si="4"/>
        <v>43767.413</v>
      </c>
      <c r="H22" s="10">
        <f t="shared" si="5"/>
        <v>-285</v>
      </c>
      <c r="I22" s="48" t="s">
        <v>77</v>
      </c>
      <c r="J22" s="49" t="s">
        <v>78</v>
      </c>
      <c r="K22" s="48">
        <v>-285</v>
      </c>
      <c r="L22" s="48" t="s">
        <v>79</v>
      </c>
      <c r="M22" s="49" t="s">
        <v>57</v>
      </c>
      <c r="N22" s="49"/>
      <c r="O22" s="50" t="s">
        <v>58</v>
      </c>
      <c r="P22" s="50" t="s">
        <v>59</v>
      </c>
    </row>
    <row r="23" spans="1:16" ht="12.75" customHeight="1" thickBot="1" x14ac:dyDescent="0.25">
      <c r="A23" s="10" t="str">
        <f t="shared" si="0"/>
        <v> GEOS 1 </v>
      </c>
      <c r="B23" s="17" t="str">
        <f t="shared" si="1"/>
        <v>I</v>
      </c>
      <c r="C23" s="10">
        <f t="shared" si="2"/>
        <v>43784.525999999998</v>
      </c>
      <c r="D23" s="15" t="str">
        <f t="shared" si="3"/>
        <v>vis</v>
      </c>
      <c r="E23" s="47">
        <f>VLOOKUP(C23,Active!C$21:E$973,3,FALSE)</f>
        <v>-277.99740222680509</v>
      </c>
      <c r="F23" s="17" t="s">
        <v>52</v>
      </c>
      <c r="G23" s="15" t="str">
        <f t="shared" si="4"/>
        <v>43784.526</v>
      </c>
      <c r="H23" s="10">
        <f t="shared" si="5"/>
        <v>-278</v>
      </c>
      <c r="I23" s="48" t="s">
        <v>80</v>
      </c>
      <c r="J23" s="49" t="s">
        <v>81</v>
      </c>
      <c r="K23" s="48">
        <v>-278</v>
      </c>
      <c r="L23" s="48" t="s">
        <v>82</v>
      </c>
      <c r="M23" s="49" t="s">
        <v>57</v>
      </c>
      <c r="N23" s="49"/>
      <c r="O23" s="50" t="s">
        <v>58</v>
      </c>
      <c r="P23" s="50" t="s">
        <v>59</v>
      </c>
    </row>
    <row r="24" spans="1:16" ht="12.75" customHeight="1" thickBot="1" x14ac:dyDescent="0.25">
      <c r="A24" s="10" t="str">
        <f t="shared" si="0"/>
        <v> GEOS 1 </v>
      </c>
      <c r="B24" s="17" t="str">
        <f t="shared" si="1"/>
        <v>I</v>
      </c>
      <c r="C24" s="10">
        <f t="shared" si="2"/>
        <v>43789.394</v>
      </c>
      <c r="D24" s="15" t="str">
        <f t="shared" si="3"/>
        <v>vis</v>
      </c>
      <c r="E24" s="47">
        <f>VLOOKUP(C24,Active!C$21:E$973,3,FALSE)</f>
        <v>-276.00151208768227</v>
      </c>
      <c r="F24" s="17" t="s">
        <v>52</v>
      </c>
      <c r="G24" s="15" t="str">
        <f t="shared" si="4"/>
        <v>43789.394</v>
      </c>
      <c r="H24" s="10">
        <f t="shared" si="5"/>
        <v>-276</v>
      </c>
      <c r="I24" s="48" t="s">
        <v>83</v>
      </c>
      <c r="J24" s="49" t="s">
        <v>84</v>
      </c>
      <c r="K24" s="48">
        <v>-276</v>
      </c>
      <c r="L24" s="48" t="s">
        <v>76</v>
      </c>
      <c r="M24" s="49" t="s">
        <v>57</v>
      </c>
      <c r="N24" s="49"/>
      <c r="O24" s="50" t="s">
        <v>58</v>
      </c>
      <c r="P24" s="50" t="s">
        <v>59</v>
      </c>
    </row>
    <row r="25" spans="1:16" ht="12.75" customHeight="1" thickBot="1" x14ac:dyDescent="0.25">
      <c r="A25" s="10" t="str">
        <f t="shared" si="0"/>
        <v> BBS 123 </v>
      </c>
      <c r="B25" s="17" t="str">
        <f t="shared" si="1"/>
        <v>I</v>
      </c>
      <c r="C25" s="10">
        <f t="shared" si="2"/>
        <v>51757.491300000002</v>
      </c>
      <c r="D25" s="15" t="str">
        <f t="shared" si="3"/>
        <v>vis</v>
      </c>
      <c r="E25" s="47">
        <f>VLOOKUP(C25,Active!C$21:E$973,3,FALSE)</f>
        <v>2990.9349769496826</v>
      </c>
      <c r="F25" s="17" t="s">
        <v>52</v>
      </c>
      <c r="G25" s="15" t="str">
        <f t="shared" si="4"/>
        <v>51757.4913</v>
      </c>
      <c r="H25" s="10">
        <f t="shared" si="5"/>
        <v>2991</v>
      </c>
      <c r="I25" s="48" t="s">
        <v>90</v>
      </c>
      <c r="J25" s="49" t="s">
        <v>91</v>
      </c>
      <c r="K25" s="48">
        <v>2991</v>
      </c>
      <c r="L25" s="48" t="s">
        <v>92</v>
      </c>
      <c r="M25" s="49" t="s">
        <v>93</v>
      </c>
      <c r="N25" s="49" t="s">
        <v>94</v>
      </c>
      <c r="O25" s="50" t="s">
        <v>95</v>
      </c>
      <c r="P25" s="50" t="s">
        <v>96</v>
      </c>
    </row>
    <row r="26" spans="1:16" ht="12.75" customHeight="1" thickBot="1" x14ac:dyDescent="0.25">
      <c r="A26" s="10" t="str">
        <f t="shared" si="0"/>
        <v> BBS 124 </v>
      </c>
      <c r="B26" s="17" t="str">
        <f t="shared" si="1"/>
        <v>I</v>
      </c>
      <c r="C26" s="10">
        <f t="shared" si="2"/>
        <v>51884.313000000002</v>
      </c>
      <c r="D26" s="15" t="str">
        <f t="shared" si="3"/>
        <v>vis</v>
      </c>
      <c r="E26" s="47">
        <f>VLOOKUP(C26,Active!C$21:E$973,3,FALSE)</f>
        <v>3042.9321380952615</v>
      </c>
      <c r="F26" s="17" t="s">
        <v>52</v>
      </c>
      <c r="G26" s="15" t="str">
        <f t="shared" si="4"/>
        <v>51884.313</v>
      </c>
      <c r="H26" s="10">
        <f t="shared" si="5"/>
        <v>3043</v>
      </c>
      <c r="I26" s="48" t="s">
        <v>97</v>
      </c>
      <c r="J26" s="49" t="s">
        <v>98</v>
      </c>
      <c r="K26" s="48">
        <v>3043</v>
      </c>
      <c r="L26" s="48" t="s">
        <v>99</v>
      </c>
      <c r="M26" s="49" t="s">
        <v>93</v>
      </c>
      <c r="N26" s="49" t="s">
        <v>94</v>
      </c>
      <c r="O26" s="50" t="s">
        <v>95</v>
      </c>
      <c r="P26" s="50" t="s">
        <v>100</v>
      </c>
    </row>
    <row r="27" spans="1:16" ht="12.75" customHeight="1" thickBot="1" x14ac:dyDescent="0.25">
      <c r="A27" s="10" t="str">
        <f t="shared" si="0"/>
        <v>OEJV 0107 </v>
      </c>
      <c r="B27" s="17" t="str">
        <f t="shared" si="1"/>
        <v>I</v>
      </c>
      <c r="C27" s="10">
        <f t="shared" si="2"/>
        <v>54318.401599999997</v>
      </c>
      <c r="D27" s="15" t="str">
        <f t="shared" si="3"/>
        <v>vis</v>
      </c>
      <c r="E27" s="47">
        <f>VLOOKUP(C27,Active!C$21:E$973,3,FALSE)</f>
        <v>4040.91353384075</v>
      </c>
      <c r="F27" s="17" t="s">
        <v>52</v>
      </c>
      <c r="G27" s="15" t="str">
        <f t="shared" si="4"/>
        <v>54318.4016</v>
      </c>
      <c r="H27" s="10">
        <f t="shared" si="5"/>
        <v>4041</v>
      </c>
      <c r="I27" s="48" t="s">
        <v>110</v>
      </c>
      <c r="J27" s="49" t="s">
        <v>111</v>
      </c>
      <c r="K27" s="48">
        <v>4041</v>
      </c>
      <c r="L27" s="48" t="s">
        <v>112</v>
      </c>
      <c r="M27" s="49" t="s">
        <v>113</v>
      </c>
      <c r="N27" s="49" t="s">
        <v>114</v>
      </c>
      <c r="O27" s="50" t="s">
        <v>115</v>
      </c>
      <c r="P27" s="51" t="s">
        <v>116</v>
      </c>
    </row>
    <row r="28" spans="1:16" x14ac:dyDescent="0.2">
      <c r="B28" s="17"/>
      <c r="F28" s="17"/>
    </row>
    <row r="29" spans="1:16" x14ac:dyDescent="0.2">
      <c r="B29" s="17"/>
      <c r="F29" s="17"/>
    </row>
    <row r="30" spans="1:16" x14ac:dyDescent="0.2">
      <c r="B30" s="17"/>
      <c r="F30" s="17"/>
    </row>
    <row r="31" spans="1:16" x14ac:dyDescent="0.2">
      <c r="B31" s="17"/>
      <c r="F31" s="17"/>
    </row>
    <row r="32" spans="1:16" x14ac:dyDescent="0.2">
      <c r="B32" s="17"/>
      <c r="F32" s="17"/>
    </row>
    <row r="33" spans="2:6" x14ac:dyDescent="0.2">
      <c r="B33" s="17"/>
      <c r="F33" s="17"/>
    </row>
    <row r="34" spans="2:6" x14ac:dyDescent="0.2">
      <c r="B34" s="17"/>
      <c r="F34" s="17"/>
    </row>
    <row r="35" spans="2:6" x14ac:dyDescent="0.2">
      <c r="B35" s="17"/>
      <c r="F35" s="17"/>
    </row>
    <row r="36" spans="2:6" x14ac:dyDescent="0.2">
      <c r="B36" s="17"/>
      <c r="F36" s="17"/>
    </row>
    <row r="37" spans="2:6" x14ac:dyDescent="0.2">
      <c r="B37" s="17"/>
      <c r="F37" s="17"/>
    </row>
    <row r="38" spans="2:6" x14ac:dyDescent="0.2">
      <c r="B38" s="17"/>
      <c r="F38" s="17"/>
    </row>
    <row r="39" spans="2:6" x14ac:dyDescent="0.2">
      <c r="B39" s="17"/>
      <c r="F39" s="17"/>
    </row>
    <row r="40" spans="2:6" x14ac:dyDescent="0.2">
      <c r="B40" s="17"/>
      <c r="F40" s="17"/>
    </row>
    <row r="41" spans="2:6" x14ac:dyDescent="0.2">
      <c r="B41" s="17"/>
      <c r="F41" s="17"/>
    </row>
    <row r="42" spans="2:6" x14ac:dyDescent="0.2">
      <c r="B42" s="17"/>
      <c r="F42" s="17"/>
    </row>
    <row r="43" spans="2:6" x14ac:dyDescent="0.2">
      <c r="B43" s="17"/>
      <c r="F43" s="17"/>
    </row>
    <row r="44" spans="2:6" x14ac:dyDescent="0.2">
      <c r="B44" s="17"/>
      <c r="F44" s="17"/>
    </row>
    <row r="45" spans="2:6" x14ac:dyDescent="0.2">
      <c r="B45" s="17"/>
      <c r="F45" s="17"/>
    </row>
    <row r="46" spans="2:6" x14ac:dyDescent="0.2">
      <c r="B46" s="17"/>
      <c r="F46" s="17"/>
    </row>
    <row r="47" spans="2:6" x14ac:dyDescent="0.2">
      <c r="B47" s="17"/>
      <c r="F47" s="17"/>
    </row>
    <row r="48" spans="2:6" x14ac:dyDescent="0.2">
      <c r="B48" s="17"/>
      <c r="F48" s="17"/>
    </row>
    <row r="49" spans="2:6" x14ac:dyDescent="0.2">
      <c r="B49" s="17"/>
      <c r="F49" s="17"/>
    </row>
    <row r="50" spans="2:6" x14ac:dyDescent="0.2">
      <c r="B50" s="17"/>
      <c r="F50" s="17"/>
    </row>
    <row r="51" spans="2:6" x14ac:dyDescent="0.2">
      <c r="B51" s="17"/>
      <c r="F51" s="17"/>
    </row>
    <row r="52" spans="2:6" x14ac:dyDescent="0.2">
      <c r="B52" s="17"/>
      <c r="F52" s="17"/>
    </row>
    <row r="53" spans="2:6" x14ac:dyDescent="0.2">
      <c r="B53" s="17"/>
      <c r="F53" s="17"/>
    </row>
    <row r="54" spans="2:6" x14ac:dyDescent="0.2">
      <c r="B54" s="17"/>
      <c r="F54" s="17"/>
    </row>
    <row r="55" spans="2:6" x14ac:dyDescent="0.2">
      <c r="B55" s="17"/>
      <c r="F55" s="17"/>
    </row>
    <row r="56" spans="2:6" x14ac:dyDescent="0.2">
      <c r="B56" s="17"/>
      <c r="F56" s="17"/>
    </row>
    <row r="57" spans="2:6" x14ac:dyDescent="0.2">
      <c r="B57" s="17"/>
      <c r="F57" s="17"/>
    </row>
    <row r="58" spans="2:6" x14ac:dyDescent="0.2">
      <c r="B58" s="17"/>
      <c r="F58" s="17"/>
    </row>
    <row r="59" spans="2:6" x14ac:dyDescent="0.2">
      <c r="B59" s="17"/>
      <c r="F59" s="17"/>
    </row>
    <row r="60" spans="2:6" x14ac:dyDescent="0.2">
      <c r="B60" s="17"/>
      <c r="F60" s="17"/>
    </row>
    <row r="61" spans="2:6" x14ac:dyDescent="0.2">
      <c r="B61" s="17"/>
      <c r="F61" s="17"/>
    </row>
    <row r="62" spans="2:6" x14ac:dyDescent="0.2">
      <c r="B62" s="17"/>
      <c r="F62" s="17"/>
    </row>
    <row r="63" spans="2:6" x14ac:dyDescent="0.2">
      <c r="B63" s="17"/>
      <c r="F63" s="17"/>
    </row>
    <row r="64" spans="2: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</sheetData>
  <phoneticPr fontId="7" type="noConversion"/>
  <hyperlinks>
    <hyperlink ref="P12" r:id="rId1" display="http://www.bav-astro.de/sfs/BAVM_link.php?BAVMnr=152"/>
    <hyperlink ref="P27" r:id="rId2" display="http://var.astro.cz/oejv/issues/oejv0107.pdf"/>
    <hyperlink ref="P14" r:id="rId3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2024-03-01T06:09:26Z</dcterms:modified>
</cp:coreProperties>
</file>