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C7D73C5-FBC6-4E15-91AF-B815134F598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C9" i="3" l="1"/>
  <c r="D9" i="3"/>
  <c r="F16" i="3"/>
  <c r="F17" i="3" s="1"/>
  <c r="C17" i="3"/>
  <c r="C21" i="3"/>
  <c r="Q21" i="3"/>
  <c r="E21" i="3"/>
  <c r="F21" i="3"/>
  <c r="G21" i="3"/>
  <c r="H21" i="3"/>
  <c r="E22" i="3"/>
  <c r="F22" i="3"/>
  <c r="G22" i="3"/>
  <c r="J22" i="3"/>
  <c r="Q22" i="3"/>
  <c r="E23" i="3"/>
  <c r="F23" i="3"/>
  <c r="G23" i="3"/>
  <c r="J23" i="3"/>
  <c r="Q23" i="3"/>
  <c r="E24" i="3"/>
  <c r="F24" i="3"/>
  <c r="G24" i="3"/>
  <c r="J24" i="3"/>
  <c r="Q24" i="3"/>
  <c r="E25" i="3"/>
  <c r="F25" i="3"/>
  <c r="G25" i="3"/>
  <c r="J25" i="3"/>
  <c r="Q25" i="3"/>
  <c r="E26" i="3"/>
  <c r="F26" i="3"/>
  <c r="G26" i="3"/>
  <c r="J26" i="3"/>
  <c r="Q26" i="3"/>
  <c r="E27" i="3"/>
  <c r="F27" i="3"/>
  <c r="G27" i="3"/>
  <c r="I27" i="3"/>
  <c r="Q27" i="3"/>
  <c r="E28" i="3"/>
  <c r="F28" i="3"/>
  <c r="G28" i="3"/>
  <c r="J28" i="3"/>
  <c r="Q28" i="3"/>
  <c r="E29" i="3"/>
  <c r="F29" i="3"/>
  <c r="G29" i="3"/>
  <c r="J29" i="3"/>
  <c r="Q29" i="3"/>
  <c r="E30" i="3"/>
  <c r="F30" i="3"/>
  <c r="G30" i="3"/>
  <c r="J30" i="3"/>
  <c r="Q30" i="3"/>
  <c r="E31" i="3"/>
  <c r="F31" i="3"/>
  <c r="G31" i="3"/>
  <c r="J31" i="3"/>
  <c r="Q31" i="3"/>
  <c r="E32" i="3"/>
  <c r="F32" i="3"/>
  <c r="G32" i="3"/>
  <c r="K32" i="3"/>
  <c r="Q32" i="3"/>
  <c r="E33" i="3"/>
  <c r="F33" i="3"/>
  <c r="G33" i="3"/>
  <c r="J33" i="3"/>
  <c r="Q33" i="3"/>
  <c r="E34" i="3"/>
  <c r="F34" i="3"/>
  <c r="G34" i="3"/>
  <c r="J34" i="3"/>
  <c r="Q34" i="3"/>
  <c r="E35" i="3"/>
  <c r="F35" i="3"/>
  <c r="G35" i="3"/>
  <c r="J35" i="3"/>
  <c r="Q35" i="3"/>
  <c r="E36" i="3"/>
  <c r="F36" i="3"/>
  <c r="G36" i="3"/>
  <c r="J36" i="3"/>
  <c r="Q36" i="3"/>
  <c r="E37" i="3"/>
  <c r="F37" i="3"/>
  <c r="G37" i="3"/>
  <c r="K37" i="3"/>
  <c r="Q37" i="3"/>
  <c r="E38" i="3"/>
  <c r="F38" i="3"/>
  <c r="G38" i="3"/>
  <c r="K38" i="3"/>
  <c r="Q38" i="3"/>
  <c r="E39" i="3"/>
  <c r="F39" i="3"/>
  <c r="G39" i="3"/>
  <c r="J39" i="3"/>
  <c r="Q39" i="3"/>
  <c r="E40" i="3"/>
  <c r="F40" i="3"/>
  <c r="G40" i="3"/>
  <c r="J40" i="3"/>
  <c r="Q40" i="3"/>
  <c r="E41" i="3"/>
  <c r="F41" i="3"/>
  <c r="G41" i="3"/>
  <c r="J41" i="3"/>
  <c r="Q41" i="3"/>
  <c r="E42" i="3"/>
  <c r="F42" i="3"/>
  <c r="G42" i="3"/>
  <c r="K42" i="3"/>
  <c r="Q42" i="3"/>
  <c r="E43" i="3"/>
  <c r="F43" i="3"/>
  <c r="G43" i="3"/>
  <c r="J43" i="3"/>
  <c r="Q43" i="3"/>
  <c r="E44" i="3"/>
  <c r="F44" i="3"/>
  <c r="G44" i="3"/>
  <c r="J44" i="3"/>
  <c r="Q44" i="3"/>
  <c r="E45" i="3"/>
  <c r="F45" i="3"/>
  <c r="G45" i="3"/>
  <c r="J45" i="3"/>
  <c r="Q45" i="3"/>
  <c r="E46" i="3"/>
  <c r="F46" i="3"/>
  <c r="G46" i="3"/>
  <c r="J46" i="3"/>
  <c r="Q46" i="3"/>
  <c r="E47" i="3"/>
  <c r="F47" i="3"/>
  <c r="G47" i="3"/>
  <c r="J47" i="3"/>
  <c r="Q47" i="3"/>
  <c r="E48" i="3"/>
  <c r="F48" i="3"/>
  <c r="G48" i="3"/>
  <c r="J48" i="3"/>
  <c r="Q48" i="3"/>
  <c r="E49" i="3"/>
  <c r="F49" i="3"/>
  <c r="G49" i="3"/>
  <c r="J49" i="3"/>
  <c r="Q49" i="3"/>
  <c r="E50" i="3"/>
  <c r="F50" i="3"/>
  <c r="G50" i="3"/>
  <c r="J50" i="3"/>
  <c r="Q50" i="3"/>
  <c r="E51" i="3"/>
  <c r="F51" i="3"/>
  <c r="G51" i="3"/>
  <c r="J51" i="3"/>
  <c r="Q51" i="3"/>
  <c r="E52" i="3"/>
  <c r="F52" i="3"/>
  <c r="G52" i="3"/>
  <c r="J52" i="3"/>
  <c r="Q52" i="3"/>
  <c r="E53" i="3"/>
  <c r="F53" i="3"/>
  <c r="G53" i="3"/>
  <c r="J53" i="3"/>
  <c r="Q53" i="3"/>
  <c r="E54" i="3"/>
  <c r="F54" i="3"/>
  <c r="G54" i="3"/>
  <c r="J54" i="3"/>
  <c r="Q54" i="3"/>
  <c r="E55" i="3"/>
  <c r="F55" i="3"/>
  <c r="G55" i="3"/>
  <c r="J55" i="3"/>
  <c r="Q55" i="3"/>
  <c r="E56" i="3"/>
  <c r="F56" i="3"/>
  <c r="G56" i="3"/>
  <c r="J56" i="3"/>
  <c r="Q56" i="3"/>
  <c r="E57" i="3"/>
  <c r="F57" i="3"/>
  <c r="G57" i="3"/>
  <c r="J57" i="3"/>
  <c r="Q57" i="3"/>
  <c r="E58" i="3"/>
  <c r="F58" i="3"/>
  <c r="G58" i="3"/>
  <c r="J58" i="3"/>
  <c r="Q58" i="3"/>
  <c r="E59" i="3"/>
  <c r="F59" i="3"/>
  <c r="G59" i="3"/>
  <c r="J59" i="3"/>
  <c r="Q59" i="3"/>
  <c r="E60" i="3"/>
  <c r="F60" i="3"/>
  <c r="G60" i="3"/>
  <c r="J60" i="3"/>
  <c r="Q60" i="3"/>
  <c r="E61" i="3"/>
  <c r="F61" i="3"/>
  <c r="G61" i="3"/>
  <c r="K61" i="3"/>
  <c r="Q61" i="3"/>
  <c r="E62" i="3"/>
  <c r="F62" i="3"/>
  <c r="G62" i="3"/>
  <c r="K62" i="3"/>
  <c r="Q62" i="3"/>
  <c r="E63" i="3"/>
  <c r="F63" i="3"/>
  <c r="Q63" i="3"/>
  <c r="E64" i="3"/>
  <c r="F64" i="3"/>
  <c r="G64" i="3"/>
  <c r="K64" i="3"/>
  <c r="Q64" i="3"/>
  <c r="E65" i="3"/>
  <c r="F65" i="3"/>
  <c r="G65" i="3"/>
  <c r="K65" i="3"/>
  <c r="Q65" i="3"/>
  <c r="E66" i="3"/>
  <c r="F66" i="3"/>
  <c r="G66" i="3"/>
  <c r="K66" i="3"/>
  <c r="Q66" i="3"/>
  <c r="E67" i="3"/>
  <c r="F67" i="3"/>
  <c r="G67" i="3"/>
  <c r="K67" i="3"/>
  <c r="Q67" i="3"/>
  <c r="E68" i="3"/>
  <c r="F68" i="3"/>
  <c r="G68" i="3"/>
  <c r="J68" i="3"/>
  <c r="Q68" i="3"/>
  <c r="E69" i="3"/>
  <c r="F69" i="3"/>
  <c r="G69" i="3"/>
  <c r="K69" i="3"/>
  <c r="Q69" i="3"/>
  <c r="E70" i="3"/>
  <c r="F70" i="3"/>
  <c r="Q70" i="3"/>
  <c r="E71" i="3"/>
  <c r="F71" i="3"/>
  <c r="G71" i="3"/>
  <c r="K71" i="3"/>
  <c r="Q71" i="3"/>
  <c r="E72" i="3"/>
  <c r="F72" i="3"/>
  <c r="G72" i="3"/>
  <c r="K72" i="3"/>
  <c r="Q72" i="3"/>
  <c r="E73" i="3"/>
  <c r="F73" i="3"/>
  <c r="G73" i="3"/>
  <c r="K73" i="3"/>
  <c r="Q73" i="3"/>
  <c r="E74" i="3"/>
  <c r="F74" i="3"/>
  <c r="G74" i="3"/>
  <c r="K74" i="3"/>
  <c r="Q74" i="3"/>
  <c r="E75" i="3"/>
  <c r="F75" i="3"/>
  <c r="G75" i="3"/>
  <c r="K75" i="3"/>
  <c r="Q75" i="3"/>
  <c r="E76" i="3"/>
  <c r="F76" i="3"/>
  <c r="G76" i="3"/>
  <c r="K76" i="3"/>
  <c r="Q76" i="3"/>
  <c r="E77" i="3"/>
  <c r="F77" i="3"/>
  <c r="G77" i="3"/>
  <c r="K77" i="3"/>
  <c r="Q77" i="3"/>
  <c r="E78" i="3"/>
  <c r="F78" i="3"/>
  <c r="G78" i="3"/>
  <c r="K78" i="3"/>
  <c r="Q78" i="3"/>
  <c r="E79" i="3"/>
  <c r="F79" i="3"/>
  <c r="G79" i="3"/>
  <c r="K79" i="3"/>
  <c r="Q79" i="3"/>
  <c r="E80" i="3"/>
  <c r="F80" i="3"/>
  <c r="G80" i="3"/>
  <c r="K80" i="3"/>
  <c r="Q80" i="3"/>
  <c r="E81" i="3"/>
  <c r="F81" i="3"/>
  <c r="G81" i="3"/>
  <c r="K81" i="3"/>
  <c r="Q81" i="3"/>
  <c r="C7" i="1"/>
  <c r="G24" i="1"/>
  <c r="C8" i="1"/>
  <c r="C18" i="1"/>
  <c r="J20" i="1"/>
  <c r="C21" i="1"/>
  <c r="E21" i="1"/>
  <c r="G21" i="1"/>
  <c r="H21" i="1"/>
  <c r="Q21" i="1"/>
  <c r="E22" i="1"/>
  <c r="G22" i="1"/>
  <c r="K22" i="1"/>
  <c r="Q22" i="1"/>
  <c r="E23" i="1"/>
  <c r="G23" i="1"/>
  <c r="K23" i="1"/>
  <c r="Q23" i="1"/>
  <c r="E24" i="1"/>
  <c r="Q24" i="1"/>
  <c r="E25" i="1"/>
  <c r="G25" i="1"/>
  <c r="K25" i="1"/>
  <c r="Q25" i="1"/>
  <c r="E26" i="1"/>
  <c r="G26" i="1"/>
  <c r="K26" i="1"/>
  <c r="Q26" i="1"/>
  <c r="E27" i="1"/>
  <c r="F27" i="1"/>
  <c r="Q27" i="1"/>
  <c r="E28" i="1"/>
  <c r="F28" i="1"/>
  <c r="G28" i="1"/>
  <c r="K28" i="1"/>
  <c r="Q28" i="1"/>
  <c r="E29" i="1"/>
  <c r="F29" i="1"/>
  <c r="G29" i="1"/>
  <c r="I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J32" i="1"/>
  <c r="Q32" i="1"/>
  <c r="E33" i="1"/>
  <c r="F33" i="1"/>
  <c r="G33" i="1"/>
  <c r="K33" i="1"/>
  <c r="Q33" i="1"/>
  <c r="E34" i="1"/>
  <c r="F34" i="1"/>
  <c r="G34" i="1"/>
  <c r="L34" i="1"/>
  <c r="Q34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C15" i="2"/>
  <c r="E15" i="2"/>
  <c r="D15" i="2"/>
  <c r="G15" i="2"/>
  <c r="H15" i="2"/>
  <c r="B15" i="2"/>
  <c r="A16" i="2"/>
  <c r="B16" i="2"/>
  <c r="D16" i="2"/>
  <c r="G16" i="2"/>
  <c r="C16" i="2"/>
  <c r="E16" i="2"/>
  <c r="H16" i="2"/>
  <c r="A17" i="2"/>
  <c r="B17" i="2"/>
  <c r="C17" i="2"/>
  <c r="E17" i="2"/>
  <c r="D17" i="2"/>
  <c r="G17" i="2"/>
  <c r="H17" i="2"/>
  <c r="A18" i="2"/>
  <c r="C18" i="2"/>
  <c r="E18" i="2"/>
  <c r="D18" i="2"/>
  <c r="G18" i="2"/>
  <c r="H18" i="2"/>
  <c r="B18" i="2"/>
  <c r="A19" i="2"/>
  <c r="D19" i="2"/>
  <c r="G19" i="2"/>
  <c r="C19" i="2"/>
  <c r="E19" i="2"/>
  <c r="H19" i="2"/>
  <c r="B19" i="2"/>
  <c r="A20" i="2"/>
  <c r="B20" i="2"/>
  <c r="D20" i="2"/>
  <c r="G20" i="2"/>
  <c r="C20" i="2"/>
  <c r="E20" i="2"/>
  <c r="H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C23" i="2"/>
  <c r="E23" i="2"/>
  <c r="D23" i="2"/>
  <c r="G23" i="2"/>
  <c r="H23" i="2"/>
  <c r="B23" i="2"/>
  <c r="A24" i="2"/>
  <c r="B24" i="2"/>
  <c r="D24" i="2"/>
  <c r="G24" i="2"/>
  <c r="C24" i="2"/>
  <c r="E24" i="2"/>
  <c r="H24" i="2"/>
  <c r="A25" i="2"/>
  <c r="B25" i="2"/>
  <c r="C25" i="2"/>
  <c r="E25" i="2"/>
  <c r="D25" i="2"/>
  <c r="G25" i="2"/>
  <c r="H25" i="2"/>
  <c r="A26" i="2"/>
  <c r="C26" i="2"/>
  <c r="E26" i="2"/>
  <c r="D26" i="2"/>
  <c r="G26" i="2"/>
  <c r="H26" i="2"/>
  <c r="B26" i="2"/>
  <c r="A27" i="2"/>
  <c r="D27" i="2"/>
  <c r="G27" i="2"/>
  <c r="C27" i="2"/>
  <c r="E27" i="2"/>
  <c r="H27" i="2"/>
  <c r="B27" i="2"/>
  <c r="A28" i="2"/>
  <c r="B28" i="2"/>
  <c r="D28" i="2"/>
  <c r="G28" i="2"/>
  <c r="C28" i="2"/>
  <c r="E28" i="2"/>
  <c r="H28" i="2"/>
  <c r="A29" i="2"/>
  <c r="D29" i="2"/>
  <c r="G29" i="2"/>
  <c r="C29" i="2"/>
  <c r="E29" i="2"/>
  <c r="H29" i="2"/>
  <c r="B29" i="2"/>
  <c r="A30" i="2"/>
  <c r="C30" i="2"/>
  <c r="E30" i="2"/>
  <c r="D30" i="2"/>
  <c r="G30" i="2"/>
  <c r="H30" i="2"/>
  <c r="B30" i="2"/>
  <c r="A31" i="2"/>
  <c r="C31" i="2"/>
  <c r="E31" i="2"/>
  <c r="D31" i="2"/>
  <c r="G31" i="2"/>
  <c r="H31" i="2"/>
  <c r="B31" i="2"/>
  <c r="A32" i="2"/>
  <c r="B32" i="2"/>
  <c r="D32" i="2"/>
  <c r="G32" i="2"/>
  <c r="C32" i="2"/>
  <c r="E32" i="2"/>
  <c r="H32" i="2"/>
  <c r="A33" i="2"/>
  <c r="B33" i="2"/>
  <c r="C33" i="2"/>
  <c r="E33" i="2"/>
  <c r="D33" i="2"/>
  <c r="G33" i="2"/>
  <c r="H33" i="2"/>
  <c r="A34" i="2"/>
  <c r="C34" i="2"/>
  <c r="E34" i="2"/>
  <c r="D34" i="2"/>
  <c r="G34" i="2"/>
  <c r="H34" i="2"/>
  <c r="B34" i="2"/>
  <c r="A35" i="2"/>
  <c r="C35" i="2"/>
  <c r="D35" i="2"/>
  <c r="E35" i="2"/>
  <c r="G35" i="2"/>
  <c r="H35" i="2"/>
  <c r="B35" i="2"/>
  <c r="A36" i="2"/>
  <c r="B36" i="2"/>
  <c r="D36" i="2"/>
  <c r="G36" i="2"/>
  <c r="C36" i="2"/>
  <c r="E36" i="2"/>
  <c r="H36" i="2"/>
  <c r="A37" i="2"/>
  <c r="D37" i="2"/>
  <c r="G37" i="2"/>
  <c r="C37" i="2"/>
  <c r="E37" i="2"/>
  <c r="H37" i="2"/>
  <c r="B37" i="2"/>
  <c r="A38" i="2"/>
  <c r="C38" i="2"/>
  <c r="E38" i="2"/>
  <c r="D38" i="2"/>
  <c r="G38" i="2"/>
  <c r="H38" i="2"/>
  <c r="B38" i="2"/>
  <c r="A39" i="2"/>
  <c r="C39" i="2"/>
  <c r="D39" i="2"/>
  <c r="E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C42" i="2"/>
  <c r="E42" i="2"/>
  <c r="D42" i="2"/>
  <c r="G42" i="2"/>
  <c r="H42" i="2"/>
  <c r="B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D45" i="2"/>
  <c r="G45" i="2"/>
  <c r="C45" i="2"/>
  <c r="E45" i="2"/>
  <c r="H45" i="2"/>
  <c r="B45" i="2"/>
  <c r="A46" i="2"/>
  <c r="C46" i="2"/>
  <c r="E46" i="2"/>
  <c r="D46" i="2"/>
  <c r="G46" i="2"/>
  <c r="H46" i="2"/>
  <c r="B46" i="2"/>
  <c r="A47" i="2"/>
  <c r="C47" i="2"/>
  <c r="D47" i="2"/>
  <c r="E47" i="2"/>
  <c r="G47" i="2"/>
  <c r="H47" i="2"/>
  <c r="B47" i="2"/>
  <c r="A48" i="2"/>
  <c r="B48" i="2"/>
  <c r="D48" i="2"/>
  <c r="G48" i="2"/>
  <c r="C48" i="2"/>
  <c r="E48" i="2"/>
  <c r="H48" i="2"/>
  <c r="A49" i="2"/>
  <c r="C49" i="2"/>
  <c r="E49" i="2"/>
  <c r="D49" i="2"/>
  <c r="G49" i="2"/>
  <c r="H49" i="2"/>
  <c r="B49" i="2"/>
  <c r="A50" i="2"/>
  <c r="C50" i="2"/>
  <c r="E50" i="2"/>
  <c r="D50" i="2"/>
  <c r="G50" i="2"/>
  <c r="H50" i="2"/>
  <c r="B50" i="2"/>
  <c r="A51" i="2"/>
  <c r="C51" i="2"/>
  <c r="D51" i="2"/>
  <c r="E51" i="2"/>
  <c r="G51" i="2"/>
  <c r="H51" i="2"/>
  <c r="B51" i="2"/>
  <c r="A52" i="2"/>
  <c r="B52" i="2"/>
  <c r="D52" i="2"/>
  <c r="G52" i="2"/>
  <c r="C52" i="2"/>
  <c r="E52" i="2"/>
  <c r="H52" i="2"/>
  <c r="A53" i="2"/>
  <c r="C53" i="2"/>
  <c r="E53" i="2"/>
  <c r="D53" i="2"/>
  <c r="G53" i="2"/>
  <c r="H53" i="2"/>
  <c r="B53" i="2"/>
  <c r="A54" i="2"/>
  <c r="C54" i="2"/>
  <c r="E54" i="2"/>
  <c r="D54" i="2"/>
  <c r="G54" i="2"/>
  <c r="H54" i="2"/>
  <c r="B54" i="2"/>
  <c r="A55" i="2"/>
  <c r="C55" i="2"/>
  <c r="D55" i="2"/>
  <c r="E55" i="2"/>
  <c r="G55" i="2"/>
  <c r="H55" i="2"/>
  <c r="B55" i="2"/>
  <c r="A56" i="2"/>
  <c r="B56" i="2"/>
  <c r="D56" i="2"/>
  <c r="G56" i="2"/>
  <c r="C56" i="2"/>
  <c r="E56" i="2"/>
  <c r="H56" i="2"/>
  <c r="A57" i="2"/>
  <c r="C57" i="2"/>
  <c r="E57" i="2"/>
  <c r="D57" i="2"/>
  <c r="G57" i="2"/>
  <c r="H57" i="2"/>
  <c r="B57" i="2"/>
  <c r="A58" i="2"/>
  <c r="C58" i="2"/>
  <c r="E58" i="2"/>
  <c r="D58" i="2"/>
  <c r="G58" i="2"/>
  <c r="H58" i="2"/>
  <c r="B58" i="2"/>
  <c r="A59" i="2"/>
  <c r="C59" i="2"/>
  <c r="D59" i="2"/>
  <c r="E59" i="2"/>
  <c r="G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C62" i="2"/>
  <c r="E62" i="2"/>
  <c r="D62" i="2"/>
  <c r="G62" i="2"/>
  <c r="H62" i="2"/>
  <c r="B62" i="2"/>
  <c r="A63" i="2"/>
  <c r="C63" i="2"/>
  <c r="D63" i="2"/>
  <c r="E63" i="2"/>
  <c r="G63" i="2"/>
  <c r="H63" i="2"/>
  <c r="B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C11" i="1"/>
  <c r="K24" i="1"/>
  <c r="C12" i="1"/>
  <c r="C16" i="1"/>
  <c r="D18" i="1"/>
  <c r="G27" i="1"/>
  <c r="M27" i="1"/>
  <c r="O29" i="1"/>
  <c r="O33" i="1"/>
  <c r="O25" i="1"/>
  <c r="O22" i="1"/>
  <c r="O28" i="1"/>
  <c r="O32" i="1"/>
  <c r="O24" i="1"/>
  <c r="O27" i="1"/>
  <c r="O31" i="1"/>
  <c r="O21" i="1"/>
  <c r="O26" i="1"/>
  <c r="O30" i="1"/>
  <c r="O34" i="1"/>
  <c r="O23" i="1"/>
  <c r="C12" i="3"/>
  <c r="C11" i="3"/>
  <c r="O77" i="3" l="1"/>
  <c r="O68" i="3"/>
  <c r="O69" i="3"/>
  <c r="O63" i="3"/>
  <c r="O70" i="3"/>
  <c r="O64" i="3"/>
  <c r="O71" i="3"/>
  <c r="O80" i="3"/>
  <c r="O62" i="3"/>
  <c r="O75" i="3"/>
  <c r="O78" i="3"/>
  <c r="C15" i="3"/>
  <c r="O76" i="3"/>
  <c r="O72" i="3"/>
  <c r="O79" i="3"/>
  <c r="O73" i="3"/>
  <c r="O81" i="3"/>
  <c r="O60" i="3"/>
  <c r="O74" i="3"/>
  <c r="O66" i="3"/>
  <c r="O61" i="3"/>
  <c r="O65" i="3"/>
  <c r="O67" i="3"/>
  <c r="C16" i="3"/>
  <c r="D18" i="3" s="1"/>
  <c r="C18" i="3" l="1"/>
  <c r="F18" i="3"/>
  <c r="F19" i="3" s="1"/>
</calcChain>
</file>

<file path=xl/sharedStrings.xml><?xml version="1.0" encoding="utf-8"?>
<sst xmlns="http://schemas.openxmlformats.org/spreadsheetml/2006/main" count="672" uniqueCount="317">
  <si>
    <t>CC Peg</t>
  </si>
  <si>
    <t>System Type:</t>
  </si>
  <si>
    <t>E*</t>
  </si>
  <si>
    <t>GCVS 4 Eph.</t>
  </si>
  <si>
    <t>--- Working ----</t>
  </si>
  <si>
    <t>Epoch =</t>
  </si>
  <si>
    <t>Period =</t>
  </si>
  <si>
    <t>Rounding Tol. =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</si>
  <si>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</si>
  <si>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</si>
  <si>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</si>
  <si>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</si>
  <si>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</si>
  <si>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</si>
  <si>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</si>
  <si>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</si>
  <si>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</si>
  <si>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</si>
  <si>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</si>
  <si>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</si>
  <si>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</si>
  <si>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</si>
  <si>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</si>
  <si>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</si>
  <si>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</si>
  <si>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IBVS 4712</t>
  </si>
  <si>
    <t>IBVS 5296</t>
  </si>
  <si>
    <t>Nelson</t>
  </si>
  <si>
    <t>BBSAG</t>
  </si>
  <si>
    <t>Misc</t>
  </si>
  <si>
    <t>Lin Fit</t>
  </si>
  <si>
    <t>Q. Fit</t>
  </si>
  <si>
    <t>Date</t>
  </si>
  <si>
    <t>na</t>
  </si>
  <si>
    <t>BBSAG Bull.112</t>
  </si>
  <si>
    <t>Paschke</t>
  </si>
  <si>
    <t>A</t>
  </si>
  <si>
    <t>B</t>
  </si>
  <si>
    <t>IBVS 5263</t>
  </si>
  <si>
    <t>RHN 2002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</si>
  <si>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</si>
  <si>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</si>
  <si>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</si>
  <si>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</si>
  <si>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</si>
  <si>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</si>
  <si>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</si>
  <si>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</si>
  <si>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</si>
  <si>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</si>
  <si>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</si>
  <si>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2424791.68 </t>
  </si>
  <si>
    <t> 03.10.1926 04:19 </t>
  </si>
  <si>
    <t> 0.00 </t>
  </si>
  <si>
    <t>P </t>
  </si>
  <si>
    <t> Shapley &amp; Hughes </t>
  </si>
  <si>
    <t> HA 90.167 </t>
  </si>
  <si>
    <t>2449562.4197 </t>
  </si>
  <si>
    <t> 28.07.1994 22:04 </t>
  </si>
  <si>
    <t> -0.1329 </t>
  </si>
  <si>
    <t>E </t>
  </si>
  <si>
    <t>o</t>
  </si>
  <si>
    <t> F.Agerer </t>
  </si>
  <si>
    <t>BAVM 152 </t>
  </si>
  <si>
    <t>2449574.5242 </t>
  </si>
  <si>
    <t> 10.08.1994 00:34 </t>
  </si>
  <si>
    <t> -0.1410 </t>
  </si>
  <si>
    <t>2449581.491 </t>
  </si>
  <si>
    <t> 16.08.1994 23:47 </t>
  </si>
  <si>
    <t> 0.164 </t>
  </si>
  <si>
    <t>2449587.546 </t>
  </si>
  <si>
    <t> 23.08.1994 01:06 </t>
  </si>
  <si>
    <t> 0.163 </t>
  </si>
  <si>
    <t>2449618.4290 </t>
  </si>
  <si>
    <t> 22.09.1994 22:17 </t>
  </si>
  <si>
    <t> 0.1584 </t>
  </si>
  <si>
    <t>2449999.358 </t>
  </si>
  <si>
    <t> 08.10.1995 20:35 </t>
  </si>
  <si>
    <t> 0.146 </t>
  </si>
  <si>
    <t>?</t>
  </si>
  <si>
    <t> A.Paschke </t>
  </si>
  <si>
    <t> BBS 112 </t>
  </si>
  <si>
    <t>2450671.5777 </t>
  </si>
  <si>
    <t> 11.08.1997 01:51 </t>
  </si>
  <si>
    <t> 0.1165 </t>
  </si>
  <si>
    <t>2451035.5428 </t>
  </si>
  <si>
    <t> 10.08.1998 01:01 </t>
  </si>
  <si>
    <t> 0.0980 </t>
  </si>
  <si>
    <t>BAVM 118 </t>
  </si>
  <si>
    <t>2451390.4271 </t>
  </si>
  <si>
    <t> 30.07.1999 22:15 </t>
  </si>
  <si>
    <t> 0.0831 </t>
  </si>
  <si>
    <t>2451413.4407 </t>
  </si>
  <si>
    <t> 22.08.1999 22:34 </t>
  </si>
  <si>
    <t> 0.0828 </t>
  </si>
  <si>
    <t>2451465.5215 </t>
  </si>
  <si>
    <t> 14.10.1999 00:30 </t>
  </si>
  <si>
    <t> 0.0794 </t>
  </si>
  <si>
    <t> M.Zejda </t>
  </si>
  <si>
    <t>IBVS 5263 </t>
  </si>
  <si>
    <t>2452137.4438 </t>
  </si>
  <si>
    <t> 15.08.2001 22:39 </t>
  </si>
  <si>
    <t> 0.0552 </t>
  </si>
  <si>
    <t>2452484.4524 </t>
  </si>
  <si>
    <t> 28.07.2002 22:51 </t>
  </si>
  <si>
    <t> 0.0378 </t>
  </si>
  <si>
    <t> W.Moschner </t>
  </si>
  <si>
    <t>BAVM 172 </t>
  </si>
  <si>
    <t>2452505.3409 </t>
  </si>
  <si>
    <t> 18.08.2002 20:10 </t>
  </si>
  <si>
    <t> 0.0321 </t>
  </si>
  <si>
    <t>BAVM 158 </t>
  </si>
  <si>
    <t>2452510.4911 </t>
  </si>
  <si>
    <t> 23.08.2002 23:47 </t>
  </si>
  <si>
    <t> 0.0344 </t>
  </si>
  <si>
    <t>2452534.7137 </t>
  </si>
  <si>
    <t> 17.09.2002 05:07 </t>
  </si>
  <si>
    <t> 0.0318 </t>
  </si>
  <si>
    <t> R.Nelson </t>
  </si>
  <si>
    <t>IBVS 5371 </t>
  </si>
  <si>
    <t>2452834.4936 </t>
  </si>
  <si>
    <t> 13.07.2003 23:50 </t>
  </si>
  <si>
    <t> 0.0249 </t>
  </si>
  <si>
    <t>-I</t>
  </si>
  <si>
    <t> K. &amp; M.Rätz </t>
  </si>
  <si>
    <t>2452878.3915 </t>
  </si>
  <si>
    <t> 26.08.2003 21:23 </t>
  </si>
  <si>
    <t>46376</t>
  </si>
  <si>
    <t> 0.0146 </t>
  </si>
  <si>
    <t>2452887.4741 </t>
  </si>
  <si>
    <t> 04.09.2003 23:22 </t>
  </si>
  <si>
    <t>46391</t>
  </si>
  <si>
    <t> 0.0128 </t>
  </si>
  <si>
    <t>2452965.5990 </t>
  </si>
  <si>
    <t> 22.11.2003 02:22 </t>
  </si>
  <si>
    <t>46520</t>
  </si>
  <si>
    <t> 0.0114 </t>
  </si>
  <si>
    <t>C </t>
  </si>
  <si>
    <t>V </t>
  </si>
  <si>
    <t> S.Dvorak </t>
  </si>
  <si>
    <t> JAAVSO 41;122 </t>
  </si>
  <si>
    <t>2453217.5276 </t>
  </si>
  <si>
    <t> 31.07.2004 00:39 </t>
  </si>
  <si>
    <t>46936</t>
  </si>
  <si>
    <t> -0.0021 </t>
  </si>
  <si>
    <t>BAVM 173 </t>
  </si>
  <si>
    <t>2453221.4644 </t>
  </si>
  <si>
    <t> 03.08.2004 23:08 </t>
  </si>
  <si>
    <t>46942.5</t>
  </si>
  <si>
    <t> -0.0019 </t>
  </si>
  <si>
    <t>2453228.4275 </t>
  </si>
  <si>
    <t> 10.08.2004 22:15 </t>
  </si>
  <si>
    <t>46954</t>
  </si>
  <si>
    <t> -0.0035 </t>
  </si>
  <si>
    <t>2453242.3569 </t>
  </si>
  <si>
    <t> 24.08.2004 20:33 </t>
  </si>
  <si>
    <t>46977</t>
  </si>
  <si>
    <t> -0.0036 </t>
  </si>
  <si>
    <t>2453250.5395 </t>
  </si>
  <si>
    <t> 02.09.2004 00:56 </t>
  </si>
  <si>
    <t>46990.5</t>
  </si>
  <si>
    <t> 0.0030 </t>
  </si>
  <si>
    <t>2453251.4403 </t>
  </si>
  <si>
    <t> 02.09.2004 22:34 </t>
  </si>
  <si>
    <t>46992</t>
  </si>
  <si>
    <t> -0.0047 </t>
  </si>
  <si>
    <t>2453254.4685 </t>
  </si>
  <si>
    <t> 05.09.2004 23:14 </t>
  </si>
  <si>
    <t>46997</t>
  </si>
  <si>
    <t> -0.0046 </t>
  </si>
  <si>
    <t>2453255.3802 </t>
  </si>
  <si>
    <t> 06.09.2004 21:07 </t>
  </si>
  <si>
    <t>46998.5</t>
  </si>
  <si>
    <t> -0.0014 </t>
  </si>
  <si>
    <t>2453256.5919 </t>
  </si>
  <si>
    <t> 08.09.2004 02:12 </t>
  </si>
  <si>
    <t>47000.5</t>
  </si>
  <si>
    <t> -0.0009 </t>
  </si>
  <si>
    <t>2453257.4986 </t>
  </si>
  <si>
    <t> 08.09.2004 23:57 </t>
  </si>
  <si>
    <t>47002</t>
  </si>
  <si>
    <t> -0.0027 </t>
  </si>
  <si>
    <t>2453265.3708 </t>
  </si>
  <si>
    <t> 16.09.2004 20:53 </t>
  </si>
  <si>
    <t>47015</t>
  </si>
  <si>
    <t> Moschner &amp; Frank </t>
  </si>
  <si>
    <t>2453282.3252 </t>
  </si>
  <si>
    <t> 03.10.2004 19:48 </t>
  </si>
  <si>
    <t>47043</t>
  </si>
  <si>
    <t> -0.0069 </t>
  </si>
  <si>
    <t>2453284.4526 </t>
  </si>
  <si>
    <t> 05.10.2004 22:51 </t>
  </si>
  <si>
    <t>47046.5</t>
  </si>
  <si>
    <t> 0.0008 </t>
  </si>
  <si>
    <t>2453601.4767 </t>
  </si>
  <si>
    <t> 18.08.2005 23:26 </t>
  </si>
  <si>
    <t>47570</t>
  </si>
  <si>
    <t> -0.0224 </t>
  </si>
  <si>
    <t> Agerer </t>
  </si>
  <si>
    <t>BAVM 178 </t>
  </si>
  <si>
    <t>2453613.5916 </t>
  </si>
  <si>
    <t> 31.08.2005 02:11 </t>
  </si>
  <si>
    <t>47590</t>
  </si>
  <si>
    <t> -0.0201 </t>
  </si>
  <si>
    <t>2453651.4458 </t>
  </si>
  <si>
    <t> 07.10.2005 22:41 </t>
  </si>
  <si>
    <t>47652.5</t>
  </si>
  <si>
    <t> -0.0178 </t>
  </si>
  <si>
    <t>2453659.3272 </t>
  </si>
  <si>
    <t> 15.10.2005 19:51 </t>
  </si>
  <si>
    <t>47665.5</t>
  </si>
  <si>
    <t> -0.0096 </t>
  </si>
  <si>
    <t> Frank </t>
  </si>
  <si>
    <t>2455097.3079 </t>
  </si>
  <si>
    <t> 22.09.2009 19:23 </t>
  </si>
  <si>
    <t>50040</t>
  </si>
  <si>
    <t> -0.0973 </t>
  </si>
  <si>
    <t>R</t>
  </si>
  <si>
    <t> L.Šmelcer </t>
  </si>
  <si>
    <t>OEJV 0137 </t>
  </si>
  <si>
    <t>2455383.7557 </t>
  </si>
  <si>
    <t> 06.07.2010 06:08 </t>
  </si>
  <si>
    <t>50513</t>
  </si>
  <si>
    <t> -0.1125 </t>
  </si>
  <si>
    <t> R.Diethelm </t>
  </si>
  <si>
    <t>IBVS 5960 </t>
  </si>
  <si>
    <t>2455807.3703 </t>
  </si>
  <si>
    <t> 02.09.2011 20:53 </t>
  </si>
  <si>
    <t>51212.5</t>
  </si>
  <si>
    <t> -0.1361 </t>
  </si>
  <si>
    <t> M.&amp; K.Rätz </t>
  </si>
  <si>
    <t>BAVM 231 </t>
  </si>
  <si>
    <t>2455811.30557 </t>
  </si>
  <si>
    <t> 06.09.2011 19:20 </t>
  </si>
  <si>
    <t> -0.13740 </t>
  </si>
  <si>
    <t>OEJV 0160 </t>
  </si>
  <si>
    <t>2455850.6679 </t>
  </si>
  <si>
    <t> 16.10.2011 04:01 </t>
  </si>
  <si>
    <t>IBVS 6011 </t>
  </si>
  <si>
    <t>2456220.38628 </t>
  </si>
  <si>
    <t> 19.10.2012 21:16 </t>
  </si>
  <si>
    <t> -0.15975 </t>
  </si>
  <si>
    <t>2456220.38691 </t>
  </si>
  <si>
    <t> 19.10.2012 21:17 </t>
  </si>
  <si>
    <t> -0.15912 </t>
  </si>
  <si>
    <t>2456220.6898 </t>
  </si>
  <si>
    <t> 20.10.2012 04:33 </t>
  </si>
  <si>
    <t> -0.1590 </t>
  </si>
  <si>
    <t>IBVS 6042 </t>
  </si>
  <si>
    <t>2454388.4508 </t>
  </si>
  <si>
    <t> 14.10.2007 22:49 </t>
  </si>
  <si>
    <t>48869.5</t>
  </si>
  <si>
    <t> -0.0645 </t>
  </si>
  <si>
    <t> P.Frank </t>
  </si>
  <si>
    <t>BAVM 193 </t>
  </si>
  <si>
    <t>2454440.2398 </t>
  </si>
  <si>
    <t> 05.12.2007 17:45 </t>
  </si>
  <si>
    <t>48955</t>
  </si>
  <si>
    <t> -0.0569 </t>
  </si>
  <si>
    <t>2455084.591 </t>
  </si>
  <si>
    <t> 10.09.2009 02:11 </t>
  </si>
  <si>
    <t>50019</t>
  </si>
  <si>
    <t> -0.096 </t>
  </si>
  <si>
    <t>OEJV 0116 </t>
  </si>
  <si>
    <t>2455390.4167 </t>
  </si>
  <si>
    <t> 12.07.2010 22:00 </t>
  </si>
  <si>
    <t>50524</t>
  </si>
  <si>
    <t> -0.1134 </t>
  </si>
  <si>
    <t>2455390.4169 </t>
  </si>
  <si>
    <t> -0.1132 </t>
  </si>
  <si>
    <t>I</t>
  </si>
  <si>
    <t>2456221.29554 </t>
  </si>
  <si>
    <t> 20.10.2012 19:05 </t>
  </si>
  <si>
    <t> -0.15894 </t>
  </si>
  <si>
    <t>2456221.29684 </t>
  </si>
  <si>
    <t> 20.10.2012 19:07 </t>
  </si>
  <si>
    <t> -0.15764 </t>
  </si>
  <si>
    <t>2456511.37852 </t>
  </si>
  <si>
    <t> 06.08.2013 21:05 </t>
  </si>
  <si>
    <t> -0.17273 </t>
  </si>
  <si>
    <t>2456511.37917 </t>
  </si>
  <si>
    <t> 06.08.2013 21:06 </t>
  </si>
  <si>
    <t> -0.17208 </t>
  </si>
  <si>
    <t>CC Peg / GSC 2201-0469</t>
  </si>
  <si>
    <t>Is this the right period?</t>
  </si>
  <si>
    <t>Confirmed by ToMcat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</si>
  <si>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</si>
  <si>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</si>
  <si>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</si>
  <si>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</si>
  <si>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</si>
  <si>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</si>
  <si>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</si>
  <si>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</si>
  <si>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</si>
  <si>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S5</t>
  </si>
  <si>
    <t>S6</t>
  </si>
  <si>
    <t>BAD?</t>
  </si>
  <si>
    <t>IBVS 5643</t>
  </si>
  <si>
    <t>II</t>
  </si>
  <si>
    <t>IBVS 5484</t>
  </si>
  <si>
    <t>IBVS 5371</t>
  </si>
  <si>
    <t>IBVS 4371</t>
  </si>
  <si>
    <t>2013JAVSO..41..122</t>
  </si>
  <si>
    <t>IBVS 5657</t>
  </si>
  <si>
    <t>IBVS 5731</t>
  </si>
  <si>
    <t>OEJV 0116</t>
  </si>
  <si>
    <t>OEJV 0137</t>
  </si>
  <si>
    <t>IBVS 5960</t>
  </si>
  <si>
    <t>IBVS 6070</t>
  </si>
  <si>
    <t>OEJV 0160</t>
  </si>
  <si>
    <t>IBVS 6011</t>
  </si>
  <si>
    <t>IBVS 6042</t>
  </si>
  <si>
    <t>OEJV 0165</t>
  </si>
  <si>
    <t>IBVS 6196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</si>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</sst>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"/>
    <numFmt numFmtId="166" formatCode="m/d/yyyy\ h:mm"/>
    <numFmt numFmtId="167" formatCode="0.000"/>
    <numFmt numFmtId="168" formatCode="dd/mm/yyyy"/>
  </numFmts>
  <fonts count="18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" fillId="0" borderId="0"/>
    <xf numFmtId="0" fontId="17" fillId="0" borderId="0"/>
  </cellStyleXfs>
  <cellXfs count="8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0" xfId="0" applyFont="1" applyAlignment="1">
      <alignment horizontal="center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0" xfId="0" applyFont="1" applyAlignment="1"/>
    <xf numFmtId="165" fontId="0" fillId="0" borderId="0" xfId="0" applyNumberFormat="1" applyAlignment="1"/>
    <xf numFmtId="0" fontId="6" fillId="0" borderId="0" xfId="0" applyFont="1" applyAlignment="1"/>
    <xf numFmtId="0" fontId="0" fillId="0" borderId="8" xfId="0" applyBorder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0" fillId="0" borderId="11" xfId="0" applyFont="1" applyBorder="1" applyAlignment="1">
      <alignment horizontal="center"/>
    </xf>
    <xf numFmtId="0" fontId="0" fillId="0" borderId="12" xfId="0" applyFont="1" applyBorder="1">
      <alignment vertical="top"/>
    </xf>
    <xf numFmtId="0" fontId="8" fillId="0" borderId="0" xfId="5" applyNumberFormat="1" applyFont="1" applyFill="1" applyBorder="1" applyAlignment="1" applyProtection="1">
      <alignment horizontal="left"/>
    </xf>
    <xf numFmtId="0" fontId="0" fillId="0" borderId="13" xfId="0" applyFont="1" applyBorder="1" applyAlignment="1">
      <alignment horizontal="center"/>
    </xf>
    <xf numFmtId="0" fontId="0" fillId="0" borderId="14" xfId="0" applyFont="1" applyBorder="1">
      <alignment vertical="top"/>
    </xf>
    <xf numFmtId="0" fontId="6" fillId="2" borderId="15" xfId="0" applyFont="1" applyFill="1" applyBorder="1" applyAlignment="1">
      <alignment horizontal="left" vertical="top" wrapText="1" indent="1"/>
    </xf>
    <xf numFmtId="0" fontId="6" fillId="2" borderId="15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right" vertical="top" wrapText="1"/>
    </xf>
    <xf numFmtId="0" fontId="8" fillId="2" borderId="15" xfId="5" applyNumberFormat="1" applyFont="1" applyFill="1" applyBorder="1" applyAlignment="1" applyProtection="1">
      <alignment horizontal="right" vertical="top" wrapText="1"/>
    </xf>
    <xf numFmtId="0" fontId="9" fillId="0" borderId="0" xfId="0" applyFont="1" applyAlignment="1"/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>
      <alignment vertical="top"/>
    </xf>
    <xf numFmtId="0" fontId="3" fillId="0" borderId="0" xfId="0" applyFont="1">
      <alignment vertical="top"/>
    </xf>
    <xf numFmtId="0" fontId="5" fillId="0" borderId="0" xfId="0" applyFont="1" applyAlignment="1">
      <alignment horizontal="center"/>
    </xf>
    <xf numFmtId="0" fontId="12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6" fontId="5" fillId="0" borderId="0" xfId="0" applyNumberFormat="1" applyFont="1">
      <alignment vertical="top"/>
    </xf>
    <xf numFmtId="0" fontId="3" fillId="0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8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13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>
      <alignment vertical="top"/>
    </xf>
    <xf numFmtId="0" fontId="6" fillId="0" borderId="0" xfId="0" applyFont="1" applyAlignment="1">
      <alignment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6" fillId="0" borderId="0" xfId="0" applyNumberFormat="1" applyFont="1" applyFill="1" applyBorder="1" applyAlignment="1" applyProtection="1">
      <alignment horizontal="center" vertical="top"/>
    </xf>
    <xf numFmtId="167" fontId="6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4" fillId="0" borderId="0" xfId="6" applyFont="1" applyAlignment="1">
      <alignment wrapText="1"/>
    </xf>
    <xf numFmtId="0" fontId="14" fillId="0" borderId="0" xfId="6" applyFont="1" applyAlignment="1">
      <alignment horizontal="center" wrapText="1"/>
    </xf>
    <xf numFmtId="0" fontId="14" fillId="0" borderId="0" xfId="6" applyFont="1" applyAlignment="1">
      <alignment horizontal="left" wrapText="1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168" fontId="0" fillId="0" borderId="0" xfId="0" applyNumberFormat="1" applyAlignment="1"/>
    <xf numFmtId="0" fontId="14" fillId="0" borderId="0" xfId="6" applyNumberFormat="1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Peg -- O-C Diagr.</a:t>
            </a:r>
          </a:p>
        </c:rich>
      </c:tx>
      <c:layout>
        <c:manualLayout>
          <c:xMode val="edge"/>
          <c:yMode val="edge"/>
          <c:x val="0.36785162287480683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1962905718702"/>
          <c:y val="0.22461572207890937"/>
          <c:w val="0.80525502318392583"/>
          <c:h val="0.5538469859479957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Active!$H$21:$H$75</c:f>
              <c:numCache>
                <c:formatCode>General</c:formatCode>
                <c:ptCount val="55"/>
                <c:pt idx="0">
                  <c:v>-4.5702262439590413E-2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FE-474D-A791-8F44D59405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Active!$I$21:$I$75</c:f>
              <c:numCache>
                <c:formatCode>General</c:formatCode>
                <c:ptCount val="55"/>
                <c:pt idx="6">
                  <c:v>9.8069603700423613E-4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FE-474D-A791-8F44D59405BF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Active!$F$21:$F$750</c:f>
              <c:numCache>
                <c:formatCode>General</c:formatCode>
                <c:ptCount val="730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  <c:pt idx="55">
                  <c:v>7939</c:v>
                </c:pt>
                <c:pt idx="56">
                  <c:v>9716</c:v>
                </c:pt>
                <c:pt idx="57">
                  <c:v>10312</c:v>
                </c:pt>
                <c:pt idx="58">
                  <c:v>10368</c:v>
                </c:pt>
                <c:pt idx="59">
                  <c:v>10406</c:v>
                </c:pt>
                <c:pt idx="60">
                  <c:v>10406</c:v>
                </c:pt>
              </c:numCache>
            </c:numRef>
          </c:xVal>
          <c:yVal>
            <c:numRef>
              <c:f>Active!$J$21:$J$750</c:f>
              <c:numCache>
                <c:formatCode>General</c:formatCode>
                <c:ptCount val="730"/>
                <c:pt idx="1">
                  <c:v>5.453981772006955E-3</c:v>
                </c:pt>
                <c:pt idx="2">
                  <c:v>-2.1118057702551596E-3</c:v>
                </c:pt>
                <c:pt idx="3">
                  <c:v>2.5036639272002503E-4</c:v>
                </c:pt>
                <c:pt idx="4">
                  <c:v>-7.8252737876027822E-4</c:v>
                </c:pt>
                <c:pt idx="5">
                  <c:v>-3.5502856262610294E-3</c:v>
                </c:pt>
                <c:pt idx="7">
                  <c:v>1.0294872190570459E-3</c:v>
                </c:pt>
                <c:pt idx="8">
                  <c:v>-1.4474285489995964E-3</c:v>
                </c:pt>
                <c:pt idx="9">
                  <c:v>-6.7500366276362911E-4</c:v>
                </c:pt>
                <c:pt idx="10">
                  <c:v>0</c:v>
                </c:pt>
                <c:pt idx="12">
                  <c:v>4.3675494162016548E-3</c:v>
                </c:pt>
                <c:pt idx="13">
                  <c:v>2.2827362117823213E-3</c:v>
                </c:pt>
                <c:pt idx="14">
                  <c:v>-2.530747304263059E-3</c:v>
                </c:pt>
                <c:pt idx="15">
                  <c:v>4.1292987589258701E-5</c:v>
                </c:pt>
                <c:pt idx="18">
                  <c:v>4.7814761201152578E-3</c:v>
                </c:pt>
                <c:pt idx="19">
                  <c:v>-3.5570037362049334E-3</c:v>
                </c:pt>
                <c:pt idx="20">
                  <c:v>-5.0063443923136219E-3</c:v>
                </c:pt>
                <c:pt idx="22">
                  <c:v>-5.2990550320828333E-3</c:v>
                </c:pt>
                <c:pt idx="23">
                  <c:v>-4.9204359893337823E-3</c:v>
                </c:pt>
                <c:pt idx="24">
                  <c:v>-6.2582638274761848E-3</c:v>
                </c:pt>
                <c:pt idx="25">
                  <c:v>-5.7339195045642555E-3</c:v>
                </c:pt>
                <c:pt idx="26">
                  <c:v>1.2216739050927572E-3</c:v>
                </c:pt>
                <c:pt idx="27">
                  <c:v>-6.3832601590547711E-3</c:v>
                </c:pt>
                <c:pt idx="28">
                  <c:v>-6.199707044288516E-3</c:v>
                </c:pt>
                <c:pt idx="29">
                  <c:v>-2.9046411145827733E-3</c:v>
                </c:pt>
                <c:pt idx="30">
                  <c:v>-2.4112198734655976E-3</c:v>
                </c:pt>
                <c:pt idx="31">
                  <c:v>-4.1161539338645525E-3</c:v>
                </c:pt>
                <c:pt idx="32">
                  <c:v>-4.7589158421033062E-3</c:v>
                </c:pt>
                <c:pt idx="33">
                  <c:v>-7.2510184036218561E-3</c:v>
                </c:pt>
                <c:pt idx="34">
                  <c:v>5.3746876801596954E-4</c:v>
                </c:pt>
                <c:pt idx="35">
                  <c:v>-8.6845202531549148E-3</c:v>
                </c:pt>
                <c:pt idx="36">
                  <c:v>-8.6845202531549148E-3</c:v>
                </c:pt>
                <c:pt idx="37">
                  <c:v>-5.8503077962086536E-3</c:v>
                </c:pt>
                <c:pt idx="38">
                  <c:v>-1.8558938827482052E-3</c:v>
                </c:pt>
                <c:pt idx="39">
                  <c:v>6.7013442167080939E-3</c:v>
                </c:pt>
                <c:pt idx="47">
                  <c:v>-2.5066077134397347E-2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FE-474D-A791-8F44D59405BF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Active!$K$21:$K$64</c:f>
              <c:numCache>
                <c:formatCode>General</c:formatCode>
                <c:ptCount val="44"/>
                <c:pt idx="11">
                  <c:v>-1.0828864469658583E-3</c:v>
                </c:pt>
                <c:pt idx="16">
                  <c:v>-2.3902821048977785E-3</c:v>
                </c:pt>
                <c:pt idx="17">
                  <c:v>-1.490282105805818E-3</c:v>
                </c:pt>
                <c:pt idx="21">
                  <c:v>-2.93067406892078E-3</c:v>
                </c:pt>
                <c:pt idx="40">
                  <c:v>-1.6059066081652418E-2</c:v>
                </c:pt>
                <c:pt idx="41">
                  <c:v>-6.1403078361763619E-3</c:v>
                </c:pt>
                <c:pt idx="43">
                  <c:v>-1.7609282229386736E-2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FE-474D-A791-8F44D59405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Active!$L$21:$L$75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FE-474D-A791-8F44D59405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Active!$M$21:$M$75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FE-474D-A791-8F44D59405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Active!$N$21:$N$75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FE-474D-A791-8F44D59405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Active!$O$21:$O$75</c:f>
              <c:numCache>
                <c:formatCode>General</c:formatCode>
                <c:ptCount val="55"/>
                <c:pt idx="39">
                  <c:v>-4.5580382703030373E-3</c:v>
                </c:pt>
                <c:pt idx="40">
                  <c:v>-1.1464330091392874E-2</c:v>
                </c:pt>
                <c:pt idx="41">
                  <c:v>-1.195476858865465E-2</c:v>
                </c:pt>
                <c:pt idx="42">
                  <c:v>-1.7584773092308863E-2</c:v>
                </c:pt>
                <c:pt idx="43">
                  <c:v>-1.8178461799520495E-2</c:v>
                </c:pt>
                <c:pt idx="44">
                  <c:v>-2.0891647872091499E-2</c:v>
                </c:pt>
                <c:pt idx="45">
                  <c:v>-2.0954745222616405E-2</c:v>
                </c:pt>
                <c:pt idx="46">
                  <c:v>-2.0954745222616405E-2</c:v>
                </c:pt>
                <c:pt idx="47">
                  <c:v>-2.4904065753198094E-2</c:v>
                </c:pt>
                <c:pt idx="48">
                  <c:v>-2.4941350551235541E-2</c:v>
                </c:pt>
                <c:pt idx="49">
                  <c:v>-2.5305594347447505E-2</c:v>
                </c:pt>
                <c:pt idx="50">
                  <c:v>-2.5314198531609992E-2</c:v>
                </c:pt>
                <c:pt idx="51">
                  <c:v>-2.8816101485742335E-2</c:v>
                </c:pt>
                <c:pt idx="52">
                  <c:v>-2.8816101485742335E-2</c:v>
                </c:pt>
                <c:pt idx="53">
                  <c:v>-2.8818969547129831E-2</c:v>
                </c:pt>
                <c:pt idx="54">
                  <c:v>-2.8824705669904822E-2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FE-474D-A791-8F44D59405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Active!$U$21:$U$75</c:f>
              <c:numCache>
                <c:formatCode>General</c:formatCode>
                <c:ptCount val="55"/>
                <c:pt idx="42">
                  <c:v>-5.4568831677897833E-2</c:v>
                </c:pt>
                <c:pt idx="49">
                  <c:v>-0.12859633354673861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FE-474D-A791-8F44D594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484512"/>
        <c:axId val="1"/>
      </c:scatterChart>
      <c:valAx>
        <c:axId val="58148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995363214837712"/>
              <c:y val="0.8615397536846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275115919629059E-2"/>
              <c:y val="0.39384679991924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48451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916537867078823E-2"/>
          <c:y val="0.91384744599232781"/>
          <c:w val="0.74343122102009274"/>
          <c:h val="6.15384615384615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Peg -- O-C Diagr.</a:t>
            </a:r>
          </a:p>
        </c:rich>
      </c:tx>
      <c:layout>
        <c:manualLayout>
          <c:xMode val="edge"/>
          <c:yMode val="edge"/>
          <c:x val="0.3750003051944088"/>
          <c:y val="3.215434083601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117052737961"/>
          <c:y val="0.23151125401929259"/>
          <c:w val="0.8183145342552961"/>
          <c:h val="0.5369774919614147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Active!$H$21:$H$75</c:f>
              <c:numCache>
                <c:formatCode>General</c:formatCode>
                <c:ptCount val="55"/>
                <c:pt idx="0">
                  <c:v>-4.5702262439590413E-2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8C-436E-A273-7E8A9B5797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Active!$I$21:$I$75</c:f>
              <c:numCache>
                <c:formatCode>General</c:formatCode>
                <c:ptCount val="55"/>
                <c:pt idx="6">
                  <c:v>9.8069603700423613E-4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8C-436E-A273-7E8A9B5797F0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Active!$F$21:$F$705</c:f>
              <c:numCache>
                <c:formatCode>General</c:formatCode>
                <c:ptCount val="68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  <c:pt idx="55">
                  <c:v>7939</c:v>
                </c:pt>
                <c:pt idx="56">
                  <c:v>9716</c:v>
                </c:pt>
                <c:pt idx="57">
                  <c:v>10312</c:v>
                </c:pt>
                <c:pt idx="58">
                  <c:v>10368</c:v>
                </c:pt>
                <c:pt idx="59">
                  <c:v>10406</c:v>
                </c:pt>
                <c:pt idx="60">
                  <c:v>10406</c:v>
                </c:pt>
              </c:numCache>
            </c:numRef>
          </c:xVal>
          <c:yVal>
            <c:numRef>
              <c:f>Active!$J$21:$J$705</c:f>
              <c:numCache>
                <c:formatCode>General</c:formatCode>
                <c:ptCount val="685"/>
                <c:pt idx="1">
                  <c:v>5.453981772006955E-3</c:v>
                </c:pt>
                <c:pt idx="2">
                  <c:v>-2.1118057702551596E-3</c:v>
                </c:pt>
                <c:pt idx="3">
                  <c:v>2.5036639272002503E-4</c:v>
                </c:pt>
                <c:pt idx="4">
                  <c:v>-7.8252737876027822E-4</c:v>
                </c:pt>
                <c:pt idx="5">
                  <c:v>-3.5502856262610294E-3</c:v>
                </c:pt>
                <c:pt idx="7">
                  <c:v>1.0294872190570459E-3</c:v>
                </c:pt>
                <c:pt idx="8">
                  <c:v>-1.4474285489995964E-3</c:v>
                </c:pt>
                <c:pt idx="9">
                  <c:v>-6.7500366276362911E-4</c:v>
                </c:pt>
                <c:pt idx="10">
                  <c:v>0</c:v>
                </c:pt>
                <c:pt idx="12">
                  <c:v>4.3675494162016548E-3</c:v>
                </c:pt>
                <c:pt idx="13">
                  <c:v>2.2827362117823213E-3</c:v>
                </c:pt>
                <c:pt idx="14">
                  <c:v>-2.530747304263059E-3</c:v>
                </c:pt>
                <c:pt idx="15">
                  <c:v>4.1292987589258701E-5</c:v>
                </c:pt>
                <c:pt idx="18">
                  <c:v>4.7814761201152578E-3</c:v>
                </c:pt>
                <c:pt idx="19">
                  <c:v>-3.5570037362049334E-3</c:v>
                </c:pt>
                <c:pt idx="20">
                  <c:v>-5.0063443923136219E-3</c:v>
                </c:pt>
                <c:pt idx="22">
                  <c:v>-5.2990550320828333E-3</c:v>
                </c:pt>
                <c:pt idx="23">
                  <c:v>-4.9204359893337823E-3</c:v>
                </c:pt>
                <c:pt idx="24">
                  <c:v>-6.2582638274761848E-3</c:v>
                </c:pt>
                <c:pt idx="25">
                  <c:v>-5.7339195045642555E-3</c:v>
                </c:pt>
                <c:pt idx="26">
                  <c:v>1.2216739050927572E-3</c:v>
                </c:pt>
                <c:pt idx="27">
                  <c:v>-6.3832601590547711E-3</c:v>
                </c:pt>
                <c:pt idx="28">
                  <c:v>-6.199707044288516E-3</c:v>
                </c:pt>
                <c:pt idx="29">
                  <c:v>-2.9046411145827733E-3</c:v>
                </c:pt>
                <c:pt idx="30">
                  <c:v>-2.4112198734655976E-3</c:v>
                </c:pt>
                <c:pt idx="31">
                  <c:v>-4.1161539338645525E-3</c:v>
                </c:pt>
                <c:pt idx="32">
                  <c:v>-4.7589158421033062E-3</c:v>
                </c:pt>
                <c:pt idx="33">
                  <c:v>-7.2510184036218561E-3</c:v>
                </c:pt>
                <c:pt idx="34">
                  <c:v>5.3746876801596954E-4</c:v>
                </c:pt>
                <c:pt idx="35">
                  <c:v>-8.6845202531549148E-3</c:v>
                </c:pt>
                <c:pt idx="36">
                  <c:v>-8.6845202531549148E-3</c:v>
                </c:pt>
                <c:pt idx="37">
                  <c:v>-5.8503077962086536E-3</c:v>
                </c:pt>
                <c:pt idx="38">
                  <c:v>-1.8558938827482052E-3</c:v>
                </c:pt>
                <c:pt idx="39">
                  <c:v>6.7013442167080939E-3</c:v>
                </c:pt>
                <c:pt idx="47">
                  <c:v>-2.5066077134397347E-2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8C-436E-A273-7E8A9B5797F0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Active!$F$21:$F$705</c:f>
              <c:numCache>
                <c:formatCode>General</c:formatCode>
                <c:ptCount val="68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  <c:pt idx="55">
                  <c:v>7939</c:v>
                </c:pt>
                <c:pt idx="56">
                  <c:v>9716</c:v>
                </c:pt>
                <c:pt idx="57">
                  <c:v>10312</c:v>
                </c:pt>
                <c:pt idx="58">
                  <c:v>10368</c:v>
                </c:pt>
                <c:pt idx="59">
                  <c:v>10406</c:v>
                </c:pt>
                <c:pt idx="60">
                  <c:v>10406</c:v>
                </c:pt>
              </c:numCache>
            </c:numRef>
          </c:xVal>
          <c:yVal>
            <c:numRef>
              <c:f>Active!$K$21:$K$705</c:f>
              <c:numCache>
                <c:formatCode>General</c:formatCode>
                <c:ptCount val="685"/>
                <c:pt idx="11">
                  <c:v>-1.0828864469658583E-3</c:v>
                </c:pt>
                <c:pt idx="16">
                  <c:v>-2.3902821048977785E-3</c:v>
                </c:pt>
                <c:pt idx="17">
                  <c:v>-1.490282105805818E-3</c:v>
                </c:pt>
                <c:pt idx="21">
                  <c:v>-2.93067406892078E-3</c:v>
                </c:pt>
                <c:pt idx="40">
                  <c:v>-1.6059066081652418E-2</c:v>
                </c:pt>
                <c:pt idx="41">
                  <c:v>-6.1403078361763619E-3</c:v>
                </c:pt>
                <c:pt idx="43">
                  <c:v>-1.7609282229386736E-2</c:v>
                </c:pt>
                <c:pt idx="44">
                  <c:v>-2.0165157700830605E-2</c:v>
                </c:pt>
                <c:pt idx="45">
                  <c:v>-2.0791340852156281E-2</c:v>
                </c:pt>
                <c:pt idx="46">
                  <c:v>-2.0591340849932749E-2</c:v>
                </c:pt>
                <c:pt idx="48">
                  <c:v>-2.6217458093015011E-2</c:v>
                </c:pt>
                <c:pt idx="50">
                  <c:v>-2.8101267613237724E-2</c:v>
                </c:pt>
                <c:pt idx="51">
                  <c:v>-3.0529432471666951E-2</c:v>
                </c:pt>
                <c:pt idx="52">
                  <c:v>-2.9899432469392195E-2</c:v>
                </c:pt>
                <c:pt idx="53">
                  <c:v>-2.9811077154590748E-2</c:v>
                </c:pt>
                <c:pt idx="54">
                  <c:v>-2.7784366531705018E-2</c:v>
                </c:pt>
                <c:pt idx="55">
                  <c:v>-2.6484366528165992E-2</c:v>
                </c:pt>
                <c:pt idx="56">
                  <c:v>-3.815959003259195E-2</c:v>
                </c:pt>
                <c:pt idx="57">
                  <c:v>-4.1880058910464868E-2</c:v>
                </c:pt>
                <c:pt idx="58">
                  <c:v>-4.3074264045571908E-2</c:v>
                </c:pt>
                <c:pt idx="59">
                  <c:v>-4.2769260478962678E-2</c:v>
                </c:pt>
                <c:pt idx="60">
                  <c:v>-4.2689260335464496E-2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8C-436E-A273-7E8A9B5797F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Active!$L$21:$L$75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8C-436E-A273-7E8A9B5797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Active!$M$21:$M$75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8C-436E-A273-7E8A9B5797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Active!$N$21:$N$75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8C-436E-A273-7E8A9B5797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Active!$F$21:$F$75</c:f>
              <c:numCache>
                <c:formatCode>General</c:formatCode>
                <c:ptCount val="55"/>
                <c:pt idx="0">
                  <c:v>-43959</c:v>
                </c:pt>
                <c:pt idx="1">
                  <c:v>-3056.5</c:v>
                </c:pt>
                <c:pt idx="2">
                  <c:v>-3036.5</c:v>
                </c:pt>
                <c:pt idx="3">
                  <c:v>-3025</c:v>
                </c:pt>
                <c:pt idx="4">
                  <c:v>-3015</c:v>
                </c:pt>
                <c:pt idx="5">
                  <c:v>-2964</c:v>
                </c:pt>
                <c:pt idx="6">
                  <c:v>-2335</c:v>
                </c:pt>
                <c:pt idx="7">
                  <c:v>-1225</c:v>
                </c:pt>
                <c:pt idx="8">
                  <c:v>-624</c:v>
                </c:pt>
                <c:pt idx="9">
                  <c:v>-38</c:v>
                </c:pt>
                <c:pt idx="10">
                  <c:v>0</c:v>
                </c:pt>
                <c:pt idx="11">
                  <c:v>86</c:v>
                </c:pt>
                <c:pt idx="12">
                  <c:v>1195.5</c:v>
                </c:pt>
                <c:pt idx="13">
                  <c:v>1768.5</c:v>
                </c:pt>
                <c:pt idx="14">
                  <c:v>1803</c:v>
                </c:pt>
                <c:pt idx="15">
                  <c:v>1811.5</c:v>
                </c:pt>
                <c:pt idx="16">
                  <c:v>1851.5</c:v>
                </c:pt>
                <c:pt idx="17">
                  <c:v>1851.5</c:v>
                </c:pt>
                <c:pt idx="18">
                  <c:v>2346.5</c:v>
                </c:pt>
                <c:pt idx="19">
                  <c:v>2419</c:v>
                </c:pt>
                <c:pt idx="20">
                  <c:v>2434</c:v>
                </c:pt>
                <c:pt idx="21">
                  <c:v>2563</c:v>
                </c:pt>
                <c:pt idx="22">
                  <c:v>2979</c:v>
                </c:pt>
                <c:pt idx="23">
                  <c:v>2985.5</c:v>
                </c:pt>
                <c:pt idx="24">
                  <c:v>2997</c:v>
                </c:pt>
                <c:pt idx="25">
                  <c:v>3020</c:v>
                </c:pt>
                <c:pt idx="26">
                  <c:v>3033.5</c:v>
                </c:pt>
                <c:pt idx="27">
                  <c:v>3035</c:v>
                </c:pt>
                <c:pt idx="28">
                  <c:v>3040</c:v>
                </c:pt>
                <c:pt idx="29">
                  <c:v>3041.5</c:v>
                </c:pt>
                <c:pt idx="30">
                  <c:v>3043.5</c:v>
                </c:pt>
                <c:pt idx="31">
                  <c:v>3045</c:v>
                </c:pt>
                <c:pt idx="32">
                  <c:v>3058</c:v>
                </c:pt>
                <c:pt idx="33">
                  <c:v>3086</c:v>
                </c:pt>
                <c:pt idx="34">
                  <c:v>3089.5</c:v>
                </c:pt>
                <c:pt idx="35">
                  <c:v>3613</c:v>
                </c:pt>
                <c:pt idx="36">
                  <c:v>3613</c:v>
                </c:pt>
                <c:pt idx="37">
                  <c:v>3633</c:v>
                </c:pt>
                <c:pt idx="38">
                  <c:v>3695.5</c:v>
                </c:pt>
                <c:pt idx="39">
                  <c:v>3708.5</c:v>
                </c:pt>
                <c:pt idx="40">
                  <c:v>4912.5</c:v>
                </c:pt>
                <c:pt idx="41">
                  <c:v>4998</c:v>
                </c:pt>
                <c:pt idx="42">
                  <c:v>5979.5</c:v>
                </c:pt>
                <c:pt idx="43">
                  <c:v>6083</c:v>
                </c:pt>
                <c:pt idx="44">
                  <c:v>6556</c:v>
                </c:pt>
                <c:pt idx="45">
                  <c:v>6567</c:v>
                </c:pt>
                <c:pt idx="46">
                  <c:v>6567</c:v>
                </c:pt>
                <c:pt idx="47">
                  <c:v>7255.5</c:v>
                </c:pt>
                <c:pt idx="48">
                  <c:v>7262</c:v>
                </c:pt>
                <c:pt idx="49">
                  <c:v>7325.5</c:v>
                </c:pt>
                <c:pt idx="50">
                  <c:v>7327</c:v>
                </c:pt>
                <c:pt idx="51">
                  <c:v>7937.5</c:v>
                </c:pt>
                <c:pt idx="52">
                  <c:v>7937.5</c:v>
                </c:pt>
                <c:pt idx="53">
                  <c:v>7938</c:v>
                </c:pt>
                <c:pt idx="54">
                  <c:v>7939</c:v>
                </c:pt>
              </c:numCache>
            </c:numRef>
          </c:xVal>
          <c:yVal>
            <c:numRef>
              <c:f>Active!$O$21:$O$75</c:f>
              <c:numCache>
                <c:formatCode>General</c:formatCode>
                <c:ptCount val="55"/>
                <c:pt idx="39">
                  <c:v>-4.5580382703030373E-3</c:v>
                </c:pt>
                <c:pt idx="40">
                  <c:v>-1.1464330091392874E-2</c:v>
                </c:pt>
                <c:pt idx="41">
                  <c:v>-1.195476858865465E-2</c:v>
                </c:pt>
                <c:pt idx="42">
                  <c:v>-1.7584773092308863E-2</c:v>
                </c:pt>
                <c:pt idx="43">
                  <c:v>-1.8178461799520495E-2</c:v>
                </c:pt>
                <c:pt idx="44">
                  <c:v>-2.0891647872091499E-2</c:v>
                </c:pt>
                <c:pt idx="45">
                  <c:v>-2.0954745222616405E-2</c:v>
                </c:pt>
                <c:pt idx="46">
                  <c:v>-2.0954745222616405E-2</c:v>
                </c:pt>
                <c:pt idx="47">
                  <c:v>-2.4904065753198094E-2</c:v>
                </c:pt>
                <c:pt idx="48">
                  <c:v>-2.4941350551235541E-2</c:v>
                </c:pt>
                <c:pt idx="49">
                  <c:v>-2.5305594347447505E-2</c:v>
                </c:pt>
                <c:pt idx="50">
                  <c:v>-2.5314198531609992E-2</c:v>
                </c:pt>
                <c:pt idx="51">
                  <c:v>-2.8816101485742335E-2</c:v>
                </c:pt>
                <c:pt idx="52">
                  <c:v>-2.8816101485742335E-2</c:v>
                </c:pt>
                <c:pt idx="53">
                  <c:v>-2.8818969547129831E-2</c:v>
                </c:pt>
                <c:pt idx="54">
                  <c:v>-2.8824705669904822E-2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8C-436E-A273-7E8A9B579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231208"/>
        <c:axId val="1"/>
      </c:scatterChart>
      <c:valAx>
        <c:axId val="4732312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12793749618507"/>
              <c:y val="0.855305466237942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709302325581394E-2"/>
              <c:y val="0.38585209003215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23120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25E-2"/>
          <c:y val="0.909967845659164"/>
          <c:w val="0.60901208569859"/>
          <c:h val="6.43086816720257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Peg -- O-C Diagr.</a:t>
            </a:r>
          </a:p>
        </c:rich>
      </c:tx>
      <c:layout>
        <c:manualLayout>
          <c:xMode val="edge"/>
          <c:yMode val="edge"/>
          <c:x val="0.37689473474906543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7600278172862"/>
          <c:y val="0.22435967660655989"/>
          <c:w val="0.77651658772155341"/>
          <c:h val="0.544873500330216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(old)'!$H$21:$H$34</c:f>
              <c:numCache>
                <c:formatCode>General</c:formatCode>
                <c:ptCount val="14"/>
                <c:pt idx="0">
                  <c:v>1.2112600000000384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A4-4707-9626-339EAA4FD5B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4712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(old)'!$I$21:$I$34</c:f>
              <c:numCache>
                <c:formatCode>General</c:formatCode>
                <c:ptCount val="14"/>
                <c:pt idx="8">
                  <c:v>9.8010000001522712E-2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A4-4707-9626-339EAA4FD5B6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 5296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(old)'!$J$21:$J$34</c:f>
              <c:numCache>
                <c:formatCode>General</c:formatCode>
                <c:ptCount val="14"/>
                <c:pt idx="11">
                  <c:v>7.9410000005736947E-2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A4-4707-9626-339EAA4FD5B6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IBVS 5296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(old)'!$K$21:$K$34</c:f>
              <c:numCache>
                <c:formatCode>General</c:formatCode>
                <c:ptCount val="14"/>
                <c:pt idx="1">
                  <c:v>0.16988499999570195</c:v>
                </c:pt>
                <c:pt idx="2">
                  <c:v>0.1617850000038743</c:v>
                </c:pt>
                <c:pt idx="3">
                  <c:v>0.16384000000107335</c:v>
                </c:pt>
                <c:pt idx="4">
                  <c:v>0.16254000000481028</c:v>
                </c:pt>
                <c:pt idx="5">
                  <c:v>0.15840999999636551</c:v>
                </c:pt>
                <c:pt idx="7">
                  <c:v>0.11654000000271481</c:v>
                </c:pt>
                <c:pt idx="9">
                  <c:v>8.3129999999073334E-2</c:v>
                </c:pt>
                <c:pt idx="10">
                  <c:v>8.2790000000386499E-2</c:v>
                </c:pt>
                <c:pt idx="12">
                  <c:v>5.522499999642605E-2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A4-4707-9626-339EAA4FD5B6}"/>
            </c:ext>
          </c:extLst>
        </c:ser>
        <c:ser>
          <c:idx val="4"/>
          <c:order val="4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(old)'!$O$21:$O$34</c:f>
              <c:numCache>
                <c:formatCode>General</c:formatCode>
                <c:ptCount val="14"/>
                <c:pt idx="0">
                  <c:v>1.2569654825376659</c:v>
                </c:pt>
                <c:pt idx="1">
                  <c:v>0.16443423832433446</c:v>
                </c:pt>
                <c:pt idx="2">
                  <c:v>0.16390002587071262</c:v>
                </c:pt>
                <c:pt idx="3">
                  <c:v>0.16359285370988008</c:v>
                </c:pt>
                <c:pt idx="4">
                  <c:v>0.16332574748306916</c:v>
                </c:pt>
                <c:pt idx="5">
                  <c:v>0.16196350572633356</c:v>
                </c:pt>
                <c:pt idx="6">
                  <c:v>0.14516252405992724</c:v>
                </c:pt>
                <c:pt idx="7">
                  <c:v>0.11551373288391598</c:v>
                </c:pt>
                <c:pt idx="8">
                  <c:v>9.9460648652580197E-2</c:v>
                </c:pt>
                <c:pt idx="9">
                  <c:v>8.3808223761460798E-2</c:v>
                </c:pt>
                <c:pt idx="10">
                  <c:v>8.2793220099579345E-2</c:v>
                </c:pt>
                <c:pt idx="11">
                  <c:v>8.0496106549005519E-2</c:v>
                </c:pt>
                <c:pt idx="12">
                  <c:v>5.0860670684334863E-2</c:v>
                </c:pt>
                <c:pt idx="13">
                  <c:v>3.3338502205539022E-2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A4-4707-9626-339EAA4FD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480912"/>
        <c:axId val="1"/>
      </c:scatterChart>
      <c:valAx>
        <c:axId val="581480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674341843633184"/>
              <c:y val="0.85577192274042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38461673060098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480912"/>
        <c:crossesAt val="0"/>
        <c:crossBetween val="midCat"/>
        <c:majorUnit val="0.5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9545653384236067E-2"/>
          <c:y val="0.907053974022478"/>
          <c:w val="0.83522886343752478"/>
          <c:h val="0.971156874621441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Peg -- O-C Diagr.</a:t>
            </a:r>
          </a:p>
        </c:rich>
      </c:tx>
      <c:layout>
        <c:manualLayout>
          <c:xMode val="edge"/>
          <c:yMode val="edge"/>
          <c:x val="0.37554630998636085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4803628212035"/>
          <c:y val="0.23301044514324543"/>
          <c:w val="0.82241747182250702"/>
          <c:h val="0.533982270119937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(old)'!$H$21:$H$34</c:f>
              <c:numCache>
                <c:formatCode>General</c:formatCode>
                <c:ptCount val="14"/>
                <c:pt idx="0">
                  <c:v>1.2112600000000384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27-4F04-B716-E57BCA2F578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4712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(old)'!$I$21:$I$34</c:f>
              <c:numCache>
                <c:formatCode>General</c:formatCode>
                <c:ptCount val="14"/>
                <c:pt idx="8">
                  <c:v>9.8010000001522712E-2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27-4F04-B716-E57BCA2F5789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 5296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(old)'!$J$21:$J$34</c:f>
              <c:numCache>
                <c:formatCode>General</c:formatCode>
                <c:ptCount val="14"/>
                <c:pt idx="11">
                  <c:v>7.9410000005736947E-2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27-4F04-B716-E57BCA2F5789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IBVS 5296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(old)'!$K$21:$K$34</c:f>
              <c:numCache>
                <c:formatCode>General</c:formatCode>
                <c:ptCount val="14"/>
                <c:pt idx="1">
                  <c:v>0.16988499999570195</c:v>
                </c:pt>
                <c:pt idx="2">
                  <c:v>0.1617850000038743</c:v>
                </c:pt>
                <c:pt idx="3">
                  <c:v>0.16384000000107335</c:v>
                </c:pt>
                <c:pt idx="4">
                  <c:v>0.16254000000481028</c:v>
                </c:pt>
                <c:pt idx="5">
                  <c:v>0.15840999999636551</c:v>
                </c:pt>
                <c:pt idx="7">
                  <c:v>0.11654000000271481</c:v>
                </c:pt>
                <c:pt idx="9">
                  <c:v>8.3129999999073334E-2</c:v>
                </c:pt>
                <c:pt idx="10">
                  <c:v>8.2790000000386499E-2</c:v>
                </c:pt>
                <c:pt idx="12">
                  <c:v>5.522499999642605E-2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27-4F04-B716-E57BCA2F5789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(old)'!$L$21:$L$34</c:f>
              <c:numCache>
                <c:formatCode>General</c:formatCode>
                <c:ptCount val="14"/>
                <c:pt idx="13">
                  <c:v>3.0944999998610001E-2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27-4F04-B716-E57BCA2F578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(old)'!$M$21:$M$34</c:f>
              <c:numCache>
                <c:formatCode>General</c:formatCode>
                <c:ptCount val="14"/>
                <c:pt idx="6">
                  <c:v>0.14614000000437954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27-4F04-B716-E57BCA2F578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(old)'!$N$21:$N$34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27-4F04-B716-E57BCA2F578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(old)'!$F$21:$F$34</c:f>
              <c:numCache>
                <c:formatCode>General</c:formatCode>
                <c:ptCount val="14"/>
                <c:pt idx="0">
                  <c:v>-2</c:v>
                </c:pt>
                <c:pt idx="1">
                  <c:v>40900.5</c:v>
                </c:pt>
                <c:pt idx="2">
                  <c:v>40920.5</c:v>
                </c:pt>
                <c:pt idx="3">
                  <c:v>40932</c:v>
                </c:pt>
                <c:pt idx="4">
                  <c:v>40942</c:v>
                </c:pt>
                <c:pt idx="5">
                  <c:v>40993</c:v>
                </c:pt>
                <c:pt idx="6">
                  <c:v>41622</c:v>
                </c:pt>
                <c:pt idx="7">
                  <c:v>42732</c:v>
                </c:pt>
                <c:pt idx="8">
                  <c:v>43333</c:v>
                </c:pt>
                <c:pt idx="9">
                  <c:v>43919</c:v>
                </c:pt>
                <c:pt idx="10">
                  <c:v>43957</c:v>
                </c:pt>
                <c:pt idx="11">
                  <c:v>44043</c:v>
                </c:pt>
                <c:pt idx="12">
                  <c:v>45152.5</c:v>
                </c:pt>
                <c:pt idx="13">
                  <c:v>45808.5</c:v>
                </c:pt>
              </c:numCache>
            </c:numRef>
          </c:xVal>
          <c:yVal>
            <c:numRef>
              <c:f>'A (old)'!$O$21:$O$34</c:f>
              <c:numCache>
                <c:formatCode>General</c:formatCode>
                <c:ptCount val="14"/>
                <c:pt idx="0">
                  <c:v>1.2569654825376659</c:v>
                </c:pt>
                <c:pt idx="1">
                  <c:v>0.16443423832433446</c:v>
                </c:pt>
                <c:pt idx="2">
                  <c:v>0.16390002587071262</c:v>
                </c:pt>
                <c:pt idx="3">
                  <c:v>0.16359285370988008</c:v>
                </c:pt>
                <c:pt idx="4">
                  <c:v>0.16332574748306916</c:v>
                </c:pt>
                <c:pt idx="5">
                  <c:v>0.16196350572633356</c:v>
                </c:pt>
                <c:pt idx="6">
                  <c:v>0.14516252405992724</c:v>
                </c:pt>
                <c:pt idx="7">
                  <c:v>0.11551373288391598</c:v>
                </c:pt>
                <c:pt idx="8">
                  <c:v>9.9460648652580197E-2</c:v>
                </c:pt>
                <c:pt idx="9">
                  <c:v>8.3808223761460798E-2</c:v>
                </c:pt>
                <c:pt idx="10">
                  <c:v>8.2793220099579345E-2</c:v>
                </c:pt>
                <c:pt idx="11">
                  <c:v>8.0496106549005519E-2</c:v>
                </c:pt>
                <c:pt idx="12">
                  <c:v>5.0860670684334863E-2</c:v>
                </c:pt>
                <c:pt idx="13">
                  <c:v>3.3338502205539022E-2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27-4F04-B716-E57BCA2F5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478032"/>
        <c:axId val="1"/>
      </c:scatterChart>
      <c:valAx>
        <c:axId val="581478032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762812945325068"/>
              <c:y val="0.85437165014567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500"/>
      </c:valAx>
      <c:valAx>
        <c:axId val="1"/>
        <c:scaling>
          <c:orientation val="minMax"/>
          <c:max val="0.2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745269286754003E-2"/>
              <c:y val="0.38511462766183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478032"/>
        <c:crossesAt val="0"/>
        <c:crossBetween val="midCat"/>
        <c:majorUnit val="0.02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1644832605531296E-2"/>
          <c:y val="0.90615158542075447"/>
          <c:w val="0.87773048019652555"/>
          <c:h val="0.970876844277960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609600</xdr:colOff>
      <xdr:row>0</xdr:row>
      <xdr:rowOff>0</xdr:rowOff>
    </xdr:from>
    <xdr:to>
      <xdr:col>24</xdr:col>
      <xdr:colOff>666750</xdr:colOff>
      <xdr:row>18</xdr:row>
      <xdr:rowOff>85725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BCA8AB87-1B22-08F3-E406-BBF32FFCE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15</xdr:col>
      <xdr:colOff>419100</xdr:colOff>
      <xdr:row>17</xdr:row>
      <xdr:rowOff>114300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AAB997AB-8122-ACAD-CF7A-68552F25F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390525</xdr:colOff>
      <xdr:row>0</xdr:row>
      <xdr:rowOff>0</xdr:rowOff>
    </xdr:from>
    <xdr:to>
      <xdr:col>22</xdr:col>
      <xdr:colOff>0</xdr:colOff>
      <xdr:row>17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4E9EDA2-A870-06B8-7612-29782F01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0</xdr:row>
      <xdr:rowOff>9525</xdr:rowOff>
    </xdr:from>
    <xdr:to>
      <xdr:col>14</xdr:col>
      <xdr:colOff>285750</xdr:colOff>
      <xdr:row>17</xdr:row>
      <xdr:rowOff>104775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F041485-A442-C5D3-CC98-204BC151C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1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bav-astro.de/sfs/BAVM_link.php?BAVMnr=178" TargetMode="External"/><Relationship Id="rId38" Type="http://schemas.openxmlformats.org/officeDocument/2006/relationships/hyperlink" Target="http://www.bav-astro.de/sfs/BAVM_link.php?BAVMnr=231" TargetMode="External"/><Relationship Id="rId46" Type="http://schemas.openxmlformats.org/officeDocument/2006/relationships/hyperlink" Target="http://var.astro.cz/oejv/issues/oejv0116.pdf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172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173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konkoly.hu/cgi-bin/IBVS?5960" TargetMode="External"/><Relationship Id="rId40" Type="http://schemas.openxmlformats.org/officeDocument/2006/relationships/hyperlink" Target="http://www.konkoly.hu/cgi-bin/IBVS?6011" TargetMode="External"/><Relationship Id="rId45" Type="http://schemas.openxmlformats.org/officeDocument/2006/relationships/hyperlink" Target="http://www.bav-astro.de/sfs/BAVM_link.php?BAVMnr=193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371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var.astro.cz/oejv/issues/oejv0137.pdf" TargetMode="External"/><Relationship Id="rId4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263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bav-astro.de/sfs/BAVM_link.php?BAVMnr=173" TargetMode="External"/><Relationship Id="rId44" Type="http://schemas.openxmlformats.org/officeDocument/2006/relationships/hyperlink" Target="http://www.bav-astro.de/sfs/BAVM_link.php?BAVMnr=193" TargetMode="External"/><Relationship Id="rId52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bav-astro.de/sfs/BAVM_link.php?BAVMnr=178" TargetMode="External"/><Relationship Id="rId43" Type="http://schemas.openxmlformats.org/officeDocument/2006/relationships/hyperlink" Target="http://www.konkoly.hu/cgi-bin/IBVS?6042" TargetMode="External"/><Relationship Id="rId48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bav-astro.de/sfs/BAVM_link.php?BAVMnr=152" TargetMode="External"/><Relationship Id="rId51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tabSelected="1" workbookViewId="0">
      <pane xSplit="12" ySplit="22" topLeftCell="M63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5703125" style="1" customWidth="1"/>
    <col min="2" max="2" width="5.140625" style="1" customWidth="1"/>
    <col min="3" max="3" width="11.42578125" style="1" customWidth="1"/>
    <col min="4" max="4" width="9.7109375" style="1" customWidth="1"/>
    <col min="5" max="5" width="9.85546875" style="1" customWidth="1"/>
    <col min="6" max="6" width="16.85546875" style="1" customWidth="1"/>
    <col min="7" max="7" width="11" style="1" customWidth="1"/>
    <col min="8" max="15" width="10.28515625" style="1"/>
    <col min="16" max="16" width="9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283</v>
      </c>
    </row>
    <row r="2" spans="1:6" x14ac:dyDescent="0.2">
      <c r="A2" s="1" t="s">
        <v>1</v>
      </c>
      <c r="B2" s="1" t="s">
        <v>2</v>
      </c>
      <c r="C2" s="16" t="s">
        <v>284</v>
      </c>
    </row>
    <row r="3" spans="1:6" x14ac:dyDescent="0.2">
      <c r="C3" s="33" t="s">
        <v>285</v>
      </c>
    </row>
    <row r="4" spans="1:6" x14ac:dyDescent="0.2">
      <c r="A4" s="3" t="s">
        <v>3</v>
      </c>
      <c r="C4" s="4">
        <v>24791.68</v>
      </c>
      <c r="D4" s="5">
        <v>0.60563</v>
      </c>
    </row>
    <row r="5" spans="1:6" x14ac:dyDescent="0.2">
      <c r="A5" s="34" t="s">
        <v>286</v>
      </c>
      <c r="B5"/>
      <c r="C5" s="35">
        <v>-9.5</v>
      </c>
      <c r="D5" t="s">
        <v>287</v>
      </c>
    </row>
    <row r="6" spans="1:6" x14ac:dyDescent="0.2">
      <c r="A6" s="3" t="s">
        <v>4</v>
      </c>
    </row>
    <row r="7" spans="1:6" x14ac:dyDescent="0.2">
      <c r="A7" s="1" t="s">
        <v>5</v>
      </c>
      <c r="C7" s="1">
        <v>51413.440699999999</v>
      </c>
    </row>
    <row r="8" spans="1:6" x14ac:dyDescent="0.2">
      <c r="A8" s="1" t="s">
        <v>6</v>
      </c>
      <c r="C8" s="1">
        <v>0.60560328937731889</v>
      </c>
    </row>
    <row r="9" spans="1:6" x14ac:dyDescent="0.2">
      <c r="A9" s="36" t="s">
        <v>288</v>
      </c>
      <c r="B9" s="37">
        <v>61</v>
      </c>
      <c r="C9" s="38" t="str">
        <f>"F"&amp;B9</f>
        <v>F61</v>
      </c>
      <c r="D9" s="16" t="str">
        <f>"G"&amp;B9</f>
        <v>G61</v>
      </c>
    </row>
    <row r="10" spans="1:6" x14ac:dyDescent="0.2">
      <c r="A10"/>
      <c r="B10"/>
      <c r="C10" s="6" t="s">
        <v>8</v>
      </c>
      <c r="D10" s="6" t="s">
        <v>9</v>
      </c>
      <c r="E10"/>
    </row>
    <row r="11" spans="1:6" x14ac:dyDescent="0.2">
      <c r="A11" t="s">
        <v>10</v>
      </c>
      <c r="B11"/>
      <c r="C11" s="39">
        <f ca="1">INTERCEPT(INDIRECT($D$9):G981,INDIRECT($C$9):F981)</f>
        <v>1.6714373040753159E-2</v>
      </c>
      <c r="D11" s="7"/>
      <c r="E11"/>
    </row>
    <row r="12" spans="1:6" x14ac:dyDescent="0.2">
      <c r="A12" t="s">
        <v>11</v>
      </c>
      <c r="B12"/>
      <c r="C12" s="39">
        <f ca="1">SLOPE(INDIRECT($D$9):G981,INDIRECT($C$9):F981)</f>
        <v>-5.7361227749915586E-6</v>
      </c>
      <c r="D12" s="7"/>
      <c r="E12"/>
    </row>
    <row r="13" spans="1:6" x14ac:dyDescent="0.2">
      <c r="A13" t="s">
        <v>12</v>
      </c>
      <c r="B13"/>
      <c r="C13" s="7" t="s">
        <v>33</v>
      </c>
    </row>
    <row r="14" spans="1:6" x14ac:dyDescent="0.2">
      <c r="A14"/>
      <c r="B14"/>
      <c r="C14"/>
    </row>
    <row r="15" spans="1:6" x14ac:dyDescent="0.2">
      <c r="A15" s="40" t="s">
        <v>14</v>
      </c>
      <c r="B15"/>
      <c r="C15" s="41">
        <f ca="1">(C7+C11)+(C8+C12)*INT(MAX(F21:F3522))</f>
        <v>57715.305553539823</v>
      </c>
      <c r="E15" s="42" t="s">
        <v>289</v>
      </c>
      <c r="F15" s="35">
        <v>1</v>
      </c>
    </row>
    <row r="16" spans="1:6" x14ac:dyDescent="0.2">
      <c r="A16" s="40" t="s">
        <v>15</v>
      </c>
      <c r="B16"/>
      <c r="C16" s="41">
        <f ca="1">+C8+C12</f>
        <v>0.6055975532545439</v>
      </c>
      <c r="E16" s="42" t="s">
        <v>290</v>
      </c>
      <c r="F16" s="39">
        <f ca="1">NOW()+15018.5+$C$5/24</f>
        <v>60370.845892476849</v>
      </c>
    </row>
    <row r="17" spans="1:34" x14ac:dyDescent="0.2">
      <c r="A17" s="42" t="s">
        <v>291</v>
      </c>
      <c r="B17"/>
      <c r="C17">
        <f>COUNT(C21:C2180)</f>
        <v>61</v>
      </c>
      <c r="E17" s="42" t="s">
        <v>292</v>
      </c>
      <c r="F17" s="39">
        <f ca="1">ROUND(2*(F16-$C$7)/$C$8,0)/2+F15</f>
        <v>14792</v>
      </c>
    </row>
    <row r="18" spans="1:34" x14ac:dyDescent="0.2">
      <c r="A18" s="40" t="s">
        <v>16</v>
      </c>
      <c r="B18"/>
      <c r="C18" s="43">
        <f ca="1">+C15</f>
        <v>57715.305553539823</v>
      </c>
      <c r="D18" s="44">
        <f ca="1">+C16</f>
        <v>0.6055975532545439</v>
      </c>
      <c r="E18" s="42" t="s">
        <v>293</v>
      </c>
      <c r="F18" s="16">
        <f ca="1">ROUND(2*(F16-$C$15)/$C$16,0)/2+F15</f>
        <v>4386</v>
      </c>
    </row>
    <row r="19" spans="1:34" x14ac:dyDescent="0.2">
      <c r="E19" s="42" t="s">
        <v>294</v>
      </c>
      <c r="F19" s="45">
        <f ca="1">+$C$15+$C$16*F18-15018.5-$C$5/24</f>
        <v>45353.352255447586</v>
      </c>
    </row>
    <row r="20" spans="1:34" x14ac:dyDescent="0.2">
      <c r="A20" s="11" t="s">
        <v>17</v>
      </c>
      <c r="B20" s="12" t="s">
        <v>18</v>
      </c>
      <c r="C20" s="12" t="s">
        <v>19</v>
      </c>
      <c r="D20" s="12" t="s">
        <v>20</v>
      </c>
      <c r="E20" s="12" t="s">
        <v>21</v>
      </c>
      <c r="F20" s="12" t="s">
        <v>22</v>
      </c>
      <c r="G20" s="12" t="s">
        <v>23</v>
      </c>
      <c r="H20" s="13" t="s">
        <v>47</v>
      </c>
      <c r="I20" s="13" t="s">
        <v>50</v>
      </c>
      <c r="J20" s="14" t="s">
        <v>44</v>
      </c>
      <c r="K20" s="14" t="s">
        <v>42</v>
      </c>
      <c r="L20" s="14" t="s">
        <v>295</v>
      </c>
      <c r="M20" s="14" t="s">
        <v>296</v>
      </c>
      <c r="N20" s="14" t="s">
        <v>29</v>
      </c>
      <c r="O20" s="14" t="s">
        <v>30</v>
      </c>
      <c r="P20" s="14" t="s">
        <v>31</v>
      </c>
      <c r="Q20" s="15" t="s">
        <v>32</v>
      </c>
      <c r="U20" s="46" t="s">
        <v>297</v>
      </c>
    </row>
    <row r="21" spans="1:34" x14ac:dyDescent="0.2">
      <c r="A21" s="1" t="s">
        <v>24</v>
      </c>
      <c r="C21" s="20">
        <f>C$4</f>
        <v>24791.68</v>
      </c>
      <c r="D21" s="20" t="s">
        <v>33</v>
      </c>
      <c r="E21" s="1">
        <f t="shared" ref="E21:E52" si="0">+(C21-C$7)/C$8</f>
        <v>-43959.07546567735</v>
      </c>
      <c r="F21" s="1">
        <f t="shared" ref="F21:F52" si="1">ROUND(2*E21,0)/2</f>
        <v>-43959</v>
      </c>
      <c r="G21" s="1">
        <f t="shared" ref="G21:G62" si="2">+C21-(C$7+F21*C$8)</f>
        <v>-4.5702262439590413E-2</v>
      </c>
      <c r="H21" s="1">
        <f>G21</f>
        <v>-4.5702262439590413E-2</v>
      </c>
      <c r="Q21" s="82">
        <f t="shared" ref="Q21:Q52" si="3">C21-15018.5</f>
        <v>9773.18</v>
      </c>
    </row>
    <row r="22" spans="1:34" x14ac:dyDescent="0.2">
      <c r="A22" s="1" t="s">
        <v>26</v>
      </c>
      <c r="C22" s="20">
        <v>49562.419699999999</v>
      </c>
      <c r="D22" s="20">
        <v>1E-3</v>
      </c>
      <c r="E22" s="1">
        <f t="shared" si="0"/>
        <v>-3056.4909941344931</v>
      </c>
      <c r="F22" s="1">
        <f t="shared" si="1"/>
        <v>-3056.5</v>
      </c>
      <c r="G22" s="1">
        <f t="shared" si="2"/>
        <v>5.453981772006955E-3</v>
      </c>
      <c r="J22" s="1">
        <f>G22</f>
        <v>5.453981772006955E-3</v>
      </c>
      <c r="Q22" s="82">
        <f t="shared" si="3"/>
        <v>34543.919699999999</v>
      </c>
    </row>
    <row r="23" spans="1:34" x14ac:dyDescent="0.2">
      <c r="A23" s="1" t="s">
        <v>26</v>
      </c>
      <c r="C23" s="20">
        <v>49574.5242</v>
      </c>
      <c r="D23" s="20">
        <v>4.0000000000000002E-4</v>
      </c>
      <c r="E23" s="1">
        <f t="shared" si="0"/>
        <v>-3036.5034871107996</v>
      </c>
      <c r="F23" s="1">
        <f t="shared" si="1"/>
        <v>-3036.5</v>
      </c>
      <c r="G23" s="1">
        <f t="shared" si="2"/>
        <v>-2.1118057702551596E-3</v>
      </c>
      <c r="J23" s="1">
        <f>G23</f>
        <v>-2.1118057702551596E-3</v>
      </c>
      <c r="Q23" s="82">
        <f t="shared" si="3"/>
        <v>34556.0242</v>
      </c>
    </row>
    <row r="24" spans="1:34" x14ac:dyDescent="0.2">
      <c r="A24" s="1" t="s">
        <v>26</v>
      </c>
      <c r="C24" s="20">
        <v>49581.491000000002</v>
      </c>
      <c r="D24" s="20">
        <v>3.0000000000000001E-3</v>
      </c>
      <c r="E24" s="1">
        <f t="shared" si="0"/>
        <v>-3024.9995865834999</v>
      </c>
      <c r="F24" s="1">
        <f t="shared" si="1"/>
        <v>-3025</v>
      </c>
      <c r="G24" s="1">
        <f t="shared" si="2"/>
        <v>2.5036639272002503E-4</v>
      </c>
      <c r="J24" s="1">
        <f>G24</f>
        <v>2.5036639272002503E-4</v>
      </c>
      <c r="Q24" s="82">
        <f t="shared" si="3"/>
        <v>34562.991000000002</v>
      </c>
    </row>
    <row r="25" spans="1:34" x14ac:dyDescent="0.2">
      <c r="A25" s="1" t="s">
        <v>26</v>
      </c>
      <c r="C25" s="20">
        <v>49587.546000000002</v>
      </c>
      <c r="D25" s="20">
        <v>4.0000000000000001E-3</v>
      </c>
      <c r="E25" s="1">
        <f t="shared" si="0"/>
        <v>-3015.0012921451953</v>
      </c>
      <c r="F25" s="1">
        <f t="shared" si="1"/>
        <v>-3015</v>
      </c>
      <c r="G25" s="1">
        <f t="shared" si="2"/>
        <v>-7.8252737876027822E-4</v>
      </c>
      <c r="J25" s="1">
        <f>G25</f>
        <v>-7.8252737876027822E-4</v>
      </c>
      <c r="Q25" s="82">
        <f t="shared" si="3"/>
        <v>34569.046000000002</v>
      </c>
    </row>
    <row r="26" spans="1:34" x14ac:dyDescent="0.2">
      <c r="A26" s="1" t="s">
        <v>26</v>
      </c>
      <c r="C26" s="20">
        <v>49618.428999999996</v>
      </c>
      <c r="D26" s="20">
        <v>5.9999999999999995E-4</v>
      </c>
      <c r="E26" s="1">
        <f t="shared" si="0"/>
        <v>-2964.0058623948908</v>
      </c>
      <c r="F26" s="1">
        <f t="shared" si="1"/>
        <v>-2964</v>
      </c>
      <c r="G26" s="1">
        <f t="shared" si="2"/>
        <v>-3.5502856262610294E-3</v>
      </c>
      <c r="J26" s="1">
        <f>G26</f>
        <v>-3.5502856262610294E-3</v>
      </c>
      <c r="Q26" s="82">
        <f t="shared" si="3"/>
        <v>34599.928999999996</v>
      </c>
    </row>
    <row r="27" spans="1:34" x14ac:dyDescent="0.2">
      <c r="A27" s="1" t="s">
        <v>34</v>
      </c>
      <c r="C27" s="20">
        <v>49999.358</v>
      </c>
      <c r="D27" s="20">
        <v>8.0000000000000002E-3</v>
      </c>
      <c r="E27" s="1">
        <f t="shared" si="0"/>
        <v>-2334.9983806296004</v>
      </c>
      <c r="F27" s="1">
        <f t="shared" si="1"/>
        <v>-2335</v>
      </c>
      <c r="G27" s="1">
        <f t="shared" si="2"/>
        <v>9.8069603700423613E-4</v>
      </c>
      <c r="I27" s="1">
        <f>G27</f>
        <v>9.8069603700423613E-4</v>
      </c>
      <c r="Q27" s="82">
        <f t="shared" si="3"/>
        <v>34980.858</v>
      </c>
      <c r="AC27" s="1">
        <v>27</v>
      </c>
      <c r="AE27" s="1" t="s">
        <v>35</v>
      </c>
      <c r="AF27" s="1" t="s">
        <v>36</v>
      </c>
      <c r="AH27" s="1" t="s">
        <v>37</v>
      </c>
    </row>
    <row r="28" spans="1:34" x14ac:dyDescent="0.2">
      <c r="A28" s="1" t="s">
        <v>26</v>
      </c>
      <c r="B28" s="7"/>
      <c r="C28" s="20">
        <v>50671.577700000002</v>
      </c>
      <c r="D28" s="20">
        <v>5.0000000000000001E-4</v>
      </c>
      <c r="E28" s="1">
        <f t="shared" si="0"/>
        <v>-1224.9983000633647</v>
      </c>
      <c r="F28" s="1">
        <f t="shared" si="1"/>
        <v>-1225</v>
      </c>
      <c r="G28" s="1">
        <f t="shared" si="2"/>
        <v>1.0294872190570459E-3</v>
      </c>
      <c r="J28" s="1">
        <f>G28</f>
        <v>1.0294872190570459E-3</v>
      </c>
      <c r="Q28" s="82">
        <f t="shared" si="3"/>
        <v>35653.077700000002</v>
      </c>
    </row>
    <row r="29" spans="1:34" x14ac:dyDescent="0.2">
      <c r="A29" s="1" t="s">
        <v>25</v>
      </c>
      <c r="B29" s="7"/>
      <c r="C29" s="20">
        <v>51035.542800000003</v>
      </c>
      <c r="D29" s="20">
        <v>5.0000000000000001E-4</v>
      </c>
      <c r="E29" s="1">
        <f t="shared" si="0"/>
        <v>-624.00239006058041</v>
      </c>
      <c r="F29" s="1">
        <f t="shared" si="1"/>
        <v>-624</v>
      </c>
      <c r="G29" s="1">
        <f t="shared" si="2"/>
        <v>-1.4474285489995964E-3</v>
      </c>
      <c r="J29" s="1">
        <f>G29</f>
        <v>-1.4474285489995964E-3</v>
      </c>
      <c r="Q29" s="82">
        <f t="shared" si="3"/>
        <v>36017.042800000003</v>
      </c>
    </row>
    <row r="30" spans="1:34" x14ac:dyDescent="0.2">
      <c r="A30" s="1" t="s">
        <v>26</v>
      </c>
      <c r="B30" s="7"/>
      <c r="C30" s="20">
        <v>51390.427100000001</v>
      </c>
      <c r="D30" s="20">
        <v>5.9999999999999995E-4</v>
      </c>
      <c r="E30" s="1">
        <f t="shared" si="0"/>
        <v>-38.001114597083813</v>
      </c>
      <c r="F30" s="1">
        <f t="shared" si="1"/>
        <v>-38</v>
      </c>
      <c r="G30" s="1">
        <f t="shared" si="2"/>
        <v>-6.7500366276362911E-4</v>
      </c>
      <c r="J30" s="1">
        <f>G30</f>
        <v>-6.7500366276362911E-4</v>
      </c>
      <c r="Q30" s="82">
        <f t="shared" si="3"/>
        <v>36371.927100000001</v>
      </c>
    </row>
    <row r="31" spans="1:34" x14ac:dyDescent="0.2">
      <c r="A31" s="18" t="s">
        <v>26</v>
      </c>
      <c r="B31" s="7"/>
      <c r="C31" s="20">
        <v>51413.440699999999</v>
      </c>
      <c r="D31" s="20">
        <v>6.9999999999999999E-4</v>
      </c>
      <c r="E31" s="1">
        <f t="shared" si="0"/>
        <v>0</v>
      </c>
      <c r="F31" s="1">
        <f t="shared" si="1"/>
        <v>0</v>
      </c>
      <c r="G31" s="1">
        <f t="shared" si="2"/>
        <v>0</v>
      </c>
      <c r="J31" s="1">
        <f>G31</f>
        <v>0</v>
      </c>
      <c r="Q31" s="82">
        <f t="shared" si="3"/>
        <v>36394.940699999999</v>
      </c>
    </row>
    <row r="32" spans="1:34" x14ac:dyDescent="0.2">
      <c r="A32" s="47" t="s">
        <v>38</v>
      </c>
      <c r="B32" s="48" t="s">
        <v>270</v>
      </c>
      <c r="C32" s="49">
        <v>51465.521500000003</v>
      </c>
      <c r="D32" s="49">
        <v>8.2000000000000007E-3</v>
      </c>
      <c r="E32" s="1">
        <f t="shared" si="0"/>
        <v>85.998211888103882</v>
      </c>
      <c r="F32" s="1">
        <f t="shared" si="1"/>
        <v>86</v>
      </c>
      <c r="G32" s="1">
        <f t="shared" si="2"/>
        <v>-1.0828864469658583E-3</v>
      </c>
      <c r="K32" s="1">
        <f>+G32</f>
        <v>-1.0828864469658583E-3</v>
      </c>
      <c r="Q32" s="82">
        <f t="shared" si="3"/>
        <v>36447.021500000003</v>
      </c>
    </row>
    <row r="33" spans="1:17" x14ac:dyDescent="0.2">
      <c r="A33" s="47" t="s">
        <v>26</v>
      </c>
      <c r="B33" s="48"/>
      <c r="C33" s="50">
        <v>52137.443800000001</v>
      </c>
      <c r="D33" s="51">
        <v>1.9E-3</v>
      </c>
      <c r="E33" s="1">
        <f t="shared" si="0"/>
        <v>1195.5072118984385</v>
      </c>
      <c r="F33" s="1">
        <f t="shared" si="1"/>
        <v>1195.5</v>
      </c>
      <c r="G33" s="1">
        <f t="shared" si="2"/>
        <v>4.3675494162016548E-3</v>
      </c>
      <c r="J33" s="1">
        <f>G33</f>
        <v>4.3675494162016548E-3</v>
      </c>
      <c r="Q33" s="82">
        <f t="shared" si="3"/>
        <v>37118.943800000001</v>
      </c>
    </row>
    <row r="34" spans="1:17" x14ac:dyDescent="0.2">
      <c r="A34" s="52" t="s">
        <v>298</v>
      </c>
      <c r="B34" s="7" t="s">
        <v>299</v>
      </c>
      <c r="C34" s="53">
        <v>52484.452400000002</v>
      </c>
      <c r="D34" s="53">
        <v>5.9999999999999995E-4</v>
      </c>
      <c r="E34" s="1">
        <f t="shared" si="0"/>
        <v>1768.5037693590084</v>
      </c>
      <c r="F34" s="1">
        <f t="shared" si="1"/>
        <v>1768.5</v>
      </c>
      <c r="G34" s="1">
        <f t="shared" si="2"/>
        <v>2.2827362117823213E-3</v>
      </c>
      <c r="J34" s="1">
        <f>G34</f>
        <v>2.2827362117823213E-3</v>
      </c>
      <c r="Q34" s="82">
        <f t="shared" si="3"/>
        <v>37465.952400000002</v>
      </c>
    </row>
    <row r="35" spans="1:17" x14ac:dyDescent="0.2">
      <c r="A35" s="18" t="s">
        <v>300</v>
      </c>
      <c r="B35" s="54"/>
      <c r="C35" s="55">
        <v>52505.340900000003</v>
      </c>
      <c r="D35" s="55">
        <v>5.0000000000000001E-4</v>
      </c>
      <c r="E35" s="1">
        <f t="shared" si="0"/>
        <v>1802.9958211136784</v>
      </c>
      <c r="F35" s="1">
        <f t="shared" si="1"/>
        <v>1803</v>
      </c>
      <c r="G35" s="1">
        <f t="shared" si="2"/>
        <v>-2.530747304263059E-3</v>
      </c>
      <c r="H35" s="20"/>
      <c r="J35" s="1">
        <f>G35</f>
        <v>-2.530747304263059E-3</v>
      </c>
      <c r="Q35" s="82">
        <f t="shared" si="3"/>
        <v>37486.840900000003</v>
      </c>
    </row>
    <row r="36" spans="1:17" x14ac:dyDescent="0.2">
      <c r="A36" s="18" t="s">
        <v>300</v>
      </c>
      <c r="B36" s="56" t="s">
        <v>299</v>
      </c>
      <c r="C36" s="55">
        <v>52510.491099999999</v>
      </c>
      <c r="D36" s="55">
        <v>2E-3</v>
      </c>
      <c r="E36" s="1">
        <f t="shared" si="0"/>
        <v>1811.500068184879</v>
      </c>
      <c r="F36" s="1">
        <f t="shared" si="1"/>
        <v>1811.5</v>
      </c>
      <c r="G36" s="1">
        <f t="shared" si="2"/>
        <v>4.1292987589258701E-5</v>
      </c>
      <c r="H36" s="20"/>
      <c r="J36" s="1">
        <f>G36</f>
        <v>4.1292987589258701E-5</v>
      </c>
      <c r="Q36" s="82">
        <f t="shared" si="3"/>
        <v>37491.991099999999</v>
      </c>
    </row>
    <row r="37" spans="1:17" x14ac:dyDescent="0.2">
      <c r="A37" s="57" t="s">
        <v>301</v>
      </c>
      <c r="B37" s="54"/>
      <c r="C37" s="55">
        <v>52534.712800000001</v>
      </c>
      <c r="D37" s="55">
        <v>2.9999999999999997E-4</v>
      </c>
      <c r="E37" s="1">
        <f t="shared" si="0"/>
        <v>1851.4960530562732</v>
      </c>
      <c r="F37" s="1">
        <f t="shared" si="1"/>
        <v>1851.5</v>
      </c>
      <c r="G37" s="1">
        <f t="shared" si="2"/>
        <v>-2.3902821048977785E-3</v>
      </c>
      <c r="K37" s="1">
        <f>+G37</f>
        <v>-2.3902821048977785E-3</v>
      </c>
      <c r="Q37" s="82">
        <f t="shared" si="3"/>
        <v>37516.212800000001</v>
      </c>
    </row>
    <row r="38" spans="1:17" x14ac:dyDescent="0.2">
      <c r="A38" s="47" t="s">
        <v>302</v>
      </c>
      <c r="B38" s="58" t="s">
        <v>299</v>
      </c>
      <c r="C38" s="47">
        <v>52534.7137</v>
      </c>
      <c r="D38" s="47">
        <v>2.9999999999999997E-4</v>
      </c>
      <c r="E38" s="1">
        <f t="shared" si="0"/>
        <v>1851.4975391776579</v>
      </c>
      <c r="F38" s="1">
        <f t="shared" si="1"/>
        <v>1851.5</v>
      </c>
      <c r="G38" s="1">
        <f t="shared" si="2"/>
        <v>-1.490282105805818E-3</v>
      </c>
      <c r="K38" s="1">
        <f>+G38</f>
        <v>-1.490282105805818E-3</v>
      </c>
      <c r="Q38" s="82">
        <f t="shared" si="3"/>
        <v>37516.2137</v>
      </c>
    </row>
    <row r="39" spans="1:17" x14ac:dyDescent="0.2">
      <c r="A39" s="52" t="s">
        <v>298</v>
      </c>
      <c r="B39" s="54" t="s">
        <v>299</v>
      </c>
      <c r="C39" s="59">
        <v>52834.493600000002</v>
      </c>
      <c r="D39" s="59">
        <v>1.2999999999999999E-3</v>
      </c>
      <c r="E39" s="1">
        <f t="shared" si="0"/>
        <v>2346.5078953932507</v>
      </c>
      <c r="F39" s="1">
        <f t="shared" si="1"/>
        <v>2346.5</v>
      </c>
      <c r="G39" s="1">
        <f t="shared" si="2"/>
        <v>4.7814761201152578E-3</v>
      </c>
      <c r="J39" s="1">
        <f>G39</f>
        <v>4.7814761201152578E-3</v>
      </c>
      <c r="Q39" s="82">
        <f t="shared" si="3"/>
        <v>37815.993600000002</v>
      </c>
    </row>
    <row r="40" spans="1:17" x14ac:dyDescent="0.2">
      <c r="A40" s="52" t="s">
        <v>298</v>
      </c>
      <c r="B40" s="56"/>
      <c r="C40" s="59">
        <v>52878.391499999998</v>
      </c>
      <c r="D40" s="59">
        <v>5.0000000000000001E-4</v>
      </c>
      <c r="E40" s="1">
        <f t="shared" si="0"/>
        <v>2418.9941265118632</v>
      </c>
      <c r="F40" s="1">
        <f t="shared" si="1"/>
        <v>2419</v>
      </c>
      <c r="G40" s="1">
        <f t="shared" si="2"/>
        <v>-3.5570037362049334E-3</v>
      </c>
      <c r="J40" s="1">
        <f>G40</f>
        <v>-3.5570037362049334E-3</v>
      </c>
      <c r="Q40" s="82">
        <f t="shared" si="3"/>
        <v>37859.891499999998</v>
      </c>
    </row>
    <row r="41" spans="1:17" x14ac:dyDescent="0.2">
      <c r="A41" s="52" t="s">
        <v>298</v>
      </c>
      <c r="B41" s="56"/>
      <c r="C41" s="59">
        <v>52887.474099999999</v>
      </c>
      <c r="D41" s="59">
        <v>1.1000000000000001E-3</v>
      </c>
      <c r="E41" s="1">
        <f t="shared" si="0"/>
        <v>2433.9917332939208</v>
      </c>
      <c r="F41" s="1">
        <f t="shared" si="1"/>
        <v>2434</v>
      </c>
      <c r="G41" s="1">
        <f t="shared" si="2"/>
        <v>-5.0063443923136219E-3</v>
      </c>
      <c r="J41" s="1">
        <f>G41</f>
        <v>-5.0063443923136219E-3</v>
      </c>
      <c r="Q41" s="82">
        <f t="shared" si="3"/>
        <v>37868.974099999999</v>
      </c>
    </row>
    <row r="42" spans="1:17" x14ac:dyDescent="0.2">
      <c r="A42" s="60" t="s">
        <v>303</v>
      </c>
      <c r="B42" s="61" t="s">
        <v>270</v>
      </c>
      <c r="C42" s="62">
        <v>52965.599000000002</v>
      </c>
      <c r="D42" s="62">
        <v>5.0000000000000001E-4</v>
      </c>
      <c r="E42" s="1">
        <f t="shared" si="0"/>
        <v>2562.9951607362163</v>
      </c>
      <c r="F42" s="1">
        <f t="shared" si="1"/>
        <v>2563</v>
      </c>
      <c r="G42" s="1">
        <f t="shared" si="2"/>
        <v>-2.93067406892078E-3</v>
      </c>
      <c r="K42" s="1">
        <f>+G42</f>
        <v>-2.93067406892078E-3</v>
      </c>
      <c r="Q42" s="82">
        <f t="shared" si="3"/>
        <v>37947.099000000002</v>
      </c>
    </row>
    <row r="43" spans="1:17" x14ac:dyDescent="0.2">
      <c r="A43" s="52" t="s">
        <v>304</v>
      </c>
      <c r="B43" s="56"/>
      <c r="C43" s="55">
        <v>53217.527600000001</v>
      </c>
      <c r="D43" s="55">
        <v>1.6999999999999999E-3</v>
      </c>
      <c r="E43" s="1">
        <f t="shared" si="0"/>
        <v>2978.9912499566567</v>
      </c>
      <c r="F43" s="1">
        <f t="shared" si="1"/>
        <v>2979</v>
      </c>
      <c r="G43" s="1">
        <f t="shared" si="2"/>
        <v>-5.2990550320828333E-3</v>
      </c>
      <c r="J43" s="1">
        <f t="shared" ref="J43:J60" si="4">G43</f>
        <v>-5.2990550320828333E-3</v>
      </c>
      <c r="Q43" s="82">
        <f t="shared" si="3"/>
        <v>38199.027600000001</v>
      </c>
    </row>
    <row r="44" spans="1:17" x14ac:dyDescent="0.2">
      <c r="A44" s="52" t="s">
        <v>304</v>
      </c>
      <c r="B44" s="54" t="s">
        <v>299</v>
      </c>
      <c r="C44" s="55">
        <v>53221.464399999997</v>
      </c>
      <c r="D44" s="55">
        <v>3.8E-3</v>
      </c>
      <c r="E44" s="1">
        <f t="shared" si="0"/>
        <v>2985.4918751498317</v>
      </c>
      <c r="F44" s="1">
        <f t="shared" si="1"/>
        <v>2985.5</v>
      </c>
      <c r="G44" s="1">
        <f t="shared" si="2"/>
        <v>-4.9204359893337823E-3</v>
      </c>
      <c r="J44" s="1">
        <f t="shared" si="4"/>
        <v>-4.9204359893337823E-3</v>
      </c>
      <c r="Q44" s="82">
        <f t="shared" si="3"/>
        <v>38202.964399999997</v>
      </c>
    </row>
    <row r="45" spans="1:17" x14ac:dyDescent="0.2">
      <c r="A45" s="52" t="s">
        <v>304</v>
      </c>
      <c r="B45" s="56"/>
      <c r="C45" s="55">
        <v>53228.427499999998</v>
      </c>
      <c r="D45" s="55">
        <v>1E-4</v>
      </c>
      <c r="E45" s="1">
        <f t="shared" si="0"/>
        <v>2996.9896660669851</v>
      </c>
      <c r="F45" s="1">
        <f t="shared" si="1"/>
        <v>2997</v>
      </c>
      <c r="G45" s="1">
        <f t="shared" si="2"/>
        <v>-6.2582638274761848E-3</v>
      </c>
      <c r="J45" s="1">
        <f t="shared" si="4"/>
        <v>-6.2582638274761848E-3</v>
      </c>
      <c r="Q45" s="82">
        <f t="shared" si="3"/>
        <v>38209.927499999998</v>
      </c>
    </row>
    <row r="46" spans="1:17" x14ac:dyDescent="0.2">
      <c r="A46" s="52" t="s">
        <v>304</v>
      </c>
      <c r="B46" s="56"/>
      <c r="C46" s="55">
        <v>53242.356899999999</v>
      </c>
      <c r="D46" s="55">
        <v>4.0000000000000002E-4</v>
      </c>
      <c r="E46" s="1">
        <f t="shared" si="0"/>
        <v>3019.9905318884425</v>
      </c>
      <c r="F46" s="1">
        <f t="shared" si="1"/>
        <v>3020</v>
      </c>
      <c r="G46" s="1">
        <f t="shared" si="2"/>
        <v>-5.7339195045642555E-3</v>
      </c>
      <c r="J46" s="1">
        <f t="shared" si="4"/>
        <v>-5.7339195045642555E-3</v>
      </c>
      <c r="Q46" s="82">
        <f t="shared" si="3"/>
        <v>38223.856899999999</v>
      </c>
    </row>
    <row r="47" spans="1:17" x14ac:dyDescent="0.2">
      <c r="A47" s="52" t="s">
        <v>304</v>
      </c>
      <c r="B47" s="54" t="s">
        <v>299</v>
      </c>
      <c r="C47" s="55">
        <v>53250.539499999999</v>
      </c>
      <c r="D47" s="55">
        <v>1.1999999999999999E-3</v>
      </c>
      <c r="E47" s="1">
        <f t="shared" si="0"/>
        <v>3033.5020172841269</v>
      </c>
      <c r="F47" s="1">
        <f t="shared" si="1"/>
        <v>3033.5</v>
      </c>
      <c r="G47" s="1">
        <f t="shared" si="2"/>
        <v>1.2216739050927572E-3</v>
      </c>
      <c r="J47" s="1">
        <f t="shared" si="4"/>
        <v>1.2216739050927572E-3</v>
      </c>
      <c r="Q47" s="82">
        <f t="shared" si="3"/>
        <v>38232.039499999999</v>
      </c>
    </row>
    <row r="48" spans="1:17" x14ac:dyDescent="0.2">
      <c r="A48" s="52" t="s">
        <v>304</v>
      </c>
      <c r="B48" s="56"/>
      <c r="C48" s="55">
        <v>53251.440300000002</v>
      </c>
      <c r="D48" s="55">
        <v>5.0000000000000001E-4</v>
      </c>
      <c r="E48" s="1">
        <f t="shared" si="0"/>
        <v>3034.9894596672907</v>
      </c>
      <c r="F48" s="1">
        <f t="shared" si="1"/>
        <v>3035</v>
      </c>
      <c r="G48" s="1">
        <f t="shared" si="2"/>
        <v>-6.3832601590547711E-3</v>
      </c>
      <c r="J48" s="1">
        <f t="shared" si="4"/>
        <v>-6.3832601590547711E-3</v>
      </c>
      <c r="Q48" s="82">
        <f t="shared" si="3"/>
        <v>38232.940300000002</v>
      </c>
    </row>
    <row r="49" spans="1:21" x14ac:dyDescent="0.2">
      <c r="A49" s="52" t="s">
        <v>304</v>
      </c>
      <c r="B49" s="56"/>
      <c r="C49" s="55">
        <v>53254.468500000003</v>
      </c>
      <c r="D49" s="55">
        <v>8.9999999999999998E-4</v>
      </c>
      <c r="E49" s="1">
        <f t="shared" si="0"/>
        <v>3039.9897627586333</v>
      </c>
      <c r="F49" s="1">
        <f t="shared" si="1"/>
        <v>3040</v>
      </c>
      <c r="G49" s="1">
        <f t="shared" si="2"/>
        <v>-6.199707044288516E-3</v>
      </c>
      <c r="J49" s="1">
        <f t="shared" si="4"/>
        <v>-6.199707044288516E-3</v>
      </c>
      <c r="Q49" s="82">
        <f t="shared" si="3"/>
        <v>38235.968500000003</v>
      </c>
    </row>
    <row r="50" spans="1:21" x14ac:dyDescent="0.2">
      <c r="A50" s="52" t="s">
        <v>304</v>
      </c>
      <c r="B50" s="54" t="s">
        <v>299</v>
      </c>
      <c r="C50" s="55">
        <v>53255.3802</v>
      </c>
      <c r="D50" s="55">
        <v>3.3999999999999998E-3</v>
      </c>
      <c r="E50" s="1">
        <f t="shared" si="0"/>
        <v>3041.4952037230214</v>
      </c>
      <c r="F50" s="1">
        <f t="shared" si="1"/>
        <v>3041.5</v>
      </c>
      <c r="G50" s="1">
        <f t="shared" si="2"/>
        <v>-2.9046411145827733E-3</v>
      </c>
      <c r="J50" s="1">
        <f t="shared" si="4"/>
        <v>-2.9046411145827733E-3</v>
      </c>
      <c r="Q50" s="82">
        <f t="shared" si="3"/>
        <v>38236.8802</v>
      </c>
    </row>
    <row r="51" spans="1:21" x14ac:dyDescent="0.2">
      <c r="A51" s="52" t="s">
        <v>304</v>
      </c>
      <c r="B51" s="54" t="s">
        <v>299</v>
      </c>
      <c r="C51" s="55">
        <v>53256.591899999999</v>
      </c>
      <c r="D51" s="55">
        <v>1E-4</v>
      </c>
      <c r="E51" s="1">
        <f t="shared" si="0"/>
        <v>3043.4960184828715</v>
      </c>
      <c r="F51" s="1">
        <f t="shared" si="1"/>
        <v>3043.5</v>
      </c>
      <c r="G51" s="1">
        <f t="shared" si="2"/>
        <v>-2.4112198734655976E-3</v>
      </c>
      <c r="J51" s="1">
        <f t="shared" si="4"/>
        <v>-2.4112198734655976E-3</v>
      </c>
      <c r="Q51" s="82">
        <f t="shared" si="3"/>
        <v>38238.091899999999</v>
      </c>
    </row>
    <row r="52" spans="1:21" x14ac:dyDescent="0.2">
      <c r="A52" s="52" t="s">
        <v>304</v>
      </c>
      <c r="B52" s="56"/>
      <c r="C52" s="55">
        <v>53257.498599999999</v>
      </c>
      <c r="D52" s="55">
        <v>1.8E-3</v>
      </c>
      <c r="E52" s="1">
        <f t="shared" si="0"/>
        <v>3044.9932032173397</v>
      </c>
      <c r="F52" s="1">
        <f t="shared" si="1"/>
        <v>3045</v>
      </c>
      <c r="G52" s="1">
        <f t="shared" si="2"/>
        <v>-4.1161539338645525E-3</v>
      </c>
      <c r="J52" s="1">
        <f t="shared" si="4"/>
        <v>-4.1161539338645525E-3</v>
      </c>
      <c r="Q52" s="82">
        <f t="shared" si="3"/>
        <v>38238.998599999999</v>
      </c>
    </row>
    <row r="53" spans="1:21" x14ac:dyDescent="0.2">
      <c r="A53" s="52" t="s">
        <v>304</v>
      </c>
      <c r="B53" s="56"/>
      <c r="C53" s="55">
        <v>53265.370799999997</v>
      </c>
      <c r="D53" s="55">
        <v>4.0000000000000002E-4</v>
      </c>
      <c r="E53" s="1">
        <f t="shared" ref="E53:E79" si="5">+(C53-C$7)/C$8</f>
        <v>3057.9921418593212</v>
      </c>
      <c r="F53" s="1">
        <f t="shared" ref="F53:F81" si="6">ROUND(2*E53,0)/2</f>
        <v>3058</v>
      </c>
      <c r="G53" s="1">
        <f t="shared" si="2"/>
        <v>-4.7589158421033062E-3</v>
      </c>
      <c r="J53" s="1">
        <f t="shared" si="4"/>
        <v>-4.7589158421033062E-3</v>
      </c>
      <c r="Q53" s="82">
        <f t="shared" ref="Q53:Q79" si="7">C53-15018.5</f>
        <v>38246.870799999997</v>
      </c>
    </row>
    <row r="54" spans="1:21" x14ac:dyDescent="0.2">
      <c r="A54" s="52" t="s">
        <v>304</v>
      </c>
      <c r="B54" s="56"/>
      <c r="C54" s="55">
        <v>53282.325199999999</v>
      </c>
      <c r="D54" s="55">
        <v>1E-3</v>
      </c>
      <c r="E54" s="1">
        <f t="shared" si="5"/>
        <v>3085.9880267849712</v>
      </c>
      <c r="F54" s="1">
        <f t="shared" si="6"/>
        <v>3086</v>
      </c>
      <c r="G54" s="1">
        <f t="shared" si="2"/>
        <v>-7.2510184036218561E-3</v>
      </c>
      <c r="J54" s="1">
        <f t="shared" si="4"/>
        <v>-7.2510184036218561E-3</v>
      </c>
      <c r="Q54" s="82">
        <f t="shared" si="7"/>
        <v>38263.825199999999</v>
      </c>
    </row>
    <row r="55" spans="1:21" x14ac:dyDescent="0.2">
      <c r="A55" s="52" t="s">
        <v>304</v>
      </c>
      <c r="B55" s="54" t="s">
        <v>299</v>
      </c>
      <c r="C55" s="55">
        <v>53284.452599999997</v>
      </c>
      <c r="D55" s="55">
        <v>5.9999999999999995E-4</v>
      </c>
      <c r="E55" s="1">
        <f t="shared" si="5"/>
        <v>3089.50088749315</v>
      </c>
      <c r="F55" s="1">
        <f t="shared" si="6"/>
        <v>3089.5</v>
      </c>
      <c r="G55" s="1">
        <f t="shared" si="2"/>
        <v>5.3746876801596954E-4</v>
      </c>
      <c r="J55" s="1">
        <f t="shared" si="4"/>
        <v>5.3746876801596954E-4</v>
      </c>
      <c r="Q55" s="82">
        <f t="shared" si="7"/>
        <v>38265.952599999997</v>
      </c>
    </row>
    <row r="56" spans="1:21" x14ac:dyDescent="0.2">
      <c r="A56" s="63" t="s">
        <v>305</v>
      </c>
      <c r="B56" s="64"/>
      <c r="C56" s="55">
        <v>53601.476699999999</v>
      </c>
      <c r="D56" s="55">
        <v>1.8E-3</v>
      </c>
      <c r="E56" s="1">
        <f t="shared" si="5"/>
        <v>3612.9856597208018</v>
      </c>
      <c r="F56" s="1">
        <f t="shared" si="6"/>
        <v>3613</v>
      </c>
      <c r="G56" s="1">
        <f t="shared" si="2"/>
        <v>-8.6845202531549148E-3</v>
      </c>
      <c r="J56" s="1">
        <f t="shared" si="4"/>
        <v>-8.6845202531549148E-3</v>
      </c>
      <c r="Q56" s="82">
        <f t="shared" si="7"/>
        <v>38582.976699999999</v>
      </c>
    </row>
    <row r="57" spans="1:21" x14ac:dyDescent="0.2">
      <c r="A57" s="47" t="s">
        <v>305</v>
      </c>
      <c r="B57" s="58" t="s">
        <v>270</v>
      </c>
      <c r="C57" s="47">
        <v>53601.476699999999</v>
      </c>
      <c r="D57" s="47">
        <v>1.8E-3</v>
      </c>
      <c r="E57" s="1">
        <f t="shared" si="5"/>
        <v>3612.9856597208018</v>
      </c>
      <c r="F57" s="1">
        <f t="shared" si="6"/>
        <v>3613</v>
      </c>
      <c r="G57" s="1">
        <f t="shared" si="2"/>
        <v>-8.6845202531549148E-3</v>
      </c>
      <c r="J57" s="1">
        <f t="shared" si="4"/>
        <v>-8.6845202531549148E-3</v>
      </c>
      <c r="Q57" s="82">
        <f t="shared" si="7"/>
        <v>38582.976699999999</v>
      </c>
    </row>
    <row r="58" spans="1:21" x14ac:dyDescent="0.2">
      <c r="A58" s="63" t="s">
        <v>305</v>
      </c>
      <c r="B58" s="64"/>
      <c r="C58" s="55">
        <v>53613.5916</v>
      </c>
      <c r="D58" s="55">
        <v>5.9999999999999995E-4</v>
      </c>
      <c r="E58" s="1">
        <f t="shared" si="5"/>
        <v>3632.9903397027369</v>
      </c>
      <c r="F58" s="1">
        <f t="shared" si="6"/>
        <v>3633</v>
      </c>
      <c r="G58" s="1">
        <f t="shared" si="2"/>
        <v>-5.8503077962086536E-3</v>
      </c>
      <c r="J58" s="1">
        <f t="shared" si="4"/>
        <v>-5.8503077962086536E-3</v>
      </c>
      <c r="Q58" s="82">
        <f t="shared" si="7"/>
        <v>38595.0916</v>
      </c>
    </row>
    <row r="59" spans="1:21" x14ac:dyDescent="0.2">
      <c r="A59" s="63" t="s">
        <v>305</v>
      </c>
      <c r="B59" s="54" t="s">
        <v>299</v>
      </c>
      <c r="C59" s="55">
        <v>53651.445800000001</v>
      </c>
      <c r="D59" s="55">
        <v>1.2999999999999999E-3</v>
      </c>
      <c r="E59" s="1">
        <f t="shared" si="5"/>
        <v>3695.4969354626828</v>
      </c>
      <c r="F59" s="1">
        <f t="shared" si="6"/>
        <v>3695.5</v>
      </c>
      <c r="G59" s="1">
        <f t="shared" si="2"/>
        <v>-1.8558938827482052E-3</v>
      </c>
      <c r="J59" s="1">
        <f t="shared" si="4"/>
        <v>-1.8558938827482052E-3</v>
      </c>
      <c r="Q59" s="82">
        <f t="shared" si="7"/>
        <v>38632.945800000001</v>
      </c>
    </row>
    <row r="60" spans="1:21" x14ac:dyDescent="0.2">
      <c r="A60" s="63" t="s">
        <v>305</v>
      </c>
      <c r="B60" s="54" t="s">
        <v>299</v>
      </c>
      <c r="C60" s="55">
        <v>53659.3272</v>
      </c>
      <c r="D60" s="55">
        <v>3.5000000000000001E-3</v>
      </c>
      <c r="E60" s="1">
        <f t="shared" si="5"/>
        <v>3708.5110655677254</v>
      </c>
      <c r="F60" s="1">
        <f t="shared" si="6"/>
        <v>3708.5</v>
      </c>
      <c r="G60" s="1">
        <f t="shared" si="2"/>
        <v>6.7013442167080939E-3</v>
      </c>
      <c r="J60" s="1">
        <f t="shared" si="4"/>
        <v>6.7013442167080939E-3</v>
      </c>
      <c r="O60" s="1">
        <f t="shared" ref="O60:O79" ca="1" si="8">+C$11+C$12*F60</f>
        <v>-4.5580382703030373E-3</v>
      </c>
      <c r="Q60" s="82">
        <f t="shared" si="7"/>
        <v>38640.8272</v>
      </c>
    </row>
    <row r="61" spans="1:21" x14ac:dyDescent="0.2">
      <c r="A61" s="65" t="s">
        <v>254</v>
      </c>
      <c r="B61" s="66" t="s">
        <v>299</v>
      </c>
      <c r="C61" s="67">
        <v>54388.450799999999</v>
      </c>
      <c r="D61" s="20"/>
      <c r="E61" s="1">
        <f t="shared" si="5"/>
        <v>4912.4734825316154</v>
      </c>
      <c r="F61" s="1">
        <f t="shared" si="6"/>
        <v>4912.5</v>
      </c>
      <c r="G61" s="1">
        <f t="shared" si="2"/>
        <v>-1.6059066081652418E-2</v>
      </c>
      <c r="K61" s="1">
        <f>+G61</f>
        <v>-1.6059066081652418E-2</v>
      </c>
      <c r="O61" s="1">
        <f t="shared" ca="1" si="8"/>
        <v>-1.1464330091392874E-2</v>
      </c>
      <c r="Q61" s="82">
        <f t="shared" si="7"/>
        <v>39369.950799999999</v>
      </c>
    </row>
    <row r="62" spans="1:21" x14ac:dyDescent="0.2">
      <c r="A62" s="65" t="s">
        <v>254</v>
      </c>
      <c r="B62" s="66" t="s">
        <v>270</v>
      </c>
      <c r="C62" s="67">
        <v>54440.239800000003</v>
      </c>
      <c r="D62" s="20"/>
      <c r="E62" s="1">
        <f t="shared" si="5"/>
        <v>4997.9898608413405</v>
      </c>
      <c r="F62" s="1">
        <f t="shared" si="6"/>
        <v>4998</v>
      </c>
      <c r="G62" s="1">
        <f t="shared" si="2"/>
        <v>-6.1403078361763619E-3</v>
      </c>
      <c r="K62" s="1">
        <f>+G62</f>
        <v>-6.1403078361763619E-3</v>
      </c>
      <c r="O62" s="1">
        <f t="shared" ca="1" si="8"/>
        <v>-1.195476858865465E-2</v>
      </c>
      <c r="Q62" s="82">
        <f t="shared" si="7"/>
        <v>39421.739800000003</v>
      </c>
    </row>
    <row r="63" spans="1:21" x14ac:dyDescent="0.2">
      <c r="A63" s="63" t="s">
        <v>306</v>
      </c>
      <c r="B63" s="68" t="s">
        <v>270</v>
      </c>
      <c r="C63" s="69">
        <v>55034.591</v>
      </c>
      <c r="D63" s="69">
        <v>0.01</v>
      </c>
      <c r="E63" s="1">
        <f t="shared" si="5"/>
        <v>5979.4098934357944</v>
      </c>
      <c r="F63" s="1">
        <f t="shared" si="6"/>
        <v>5979.5</v>
      </c>
      <c r="O63" s="1">
        <f t="shared" ca="1" si="8"/>
        <v>-1.7584773092308863E-2</v>
      </c>
      <c r="Q63" s="82">
        <f t="shared" si="7"/>
        <v>40016.091</v>
      </c>
      <c r="U63" s="70">
        <v>-5.4568831677897833E-2</v>
      </c>
    </row>
    <row r="64" spans="1:21" x14ac:dyDescent="0.2">
      <c r="A64" s="63" t="s">
        <v>307</v>
      </c>
      <c r="B64" s="54" t="s">
        <v>270</v>
      </c>
      <c r="C64" s="55">
        <v>55097.3079</v>
      </c>
      <c r="D64" s="55">
        <v>4.0000000000000002E-4</v>
      </c>
      <c r="E64" s="1">
        <f t="shared" si="5"/>
        <v>6082.9709227434214</v>
      </c>
      <c r="F64" s="1">
        <f t="shared" si="6"/>
        <v>6083</v>
      </c>
      <c r="G64" s="1">
        <f t="shared" ref="G64:G69" si="9">+C64-(C$7+F64*C$8)</f>
        <v>-1.7609282229386736E-2</v>
      </c>
      <c r="K64" s="1">
        <f>+G64</f>
        <v>-1.7609282229386736E-2</v>
      </c>
      <c r="O64" s="1">
        <f t="shared" ca="1" si="8"/>
        <v>-1.8178461799520495E-2</v>
      </c>
      <c r="Q64" s="82">
        <f t="shared" si="7"/>
        <v>40078.8079</v>
      </c>
    </row>
    <row r="65" spans="1:21" x14ac:dyDescent="0.2">
      <c r="A65" s="63" t="s">
        <v>308</v>
      </c>
      <c r="B65" s="54" t="s">
        <v>270</v>
      </c>
      <c r="C65" s="55">
        <v>55383.755700000002</v>
      </c>
      <c r="D65" s="55">
        <v>5.9999999999999995E-4</v>
      </c>
      <c r="E65" s="1">
        <f t="shared" si="5"/>
        <v>6555.9667023643133</v>
      </c>
      <c r="F65" s="1">
        <f t="shared" si="6"/>
        <v>6556</v>
      </c>
      <c r="G65" s="1">
        <f t="shared" si="9"/>
        <v>-2.0165157700830605E-2</v>
      </c>
      <c r="K65" s="1">
        <f>+G65</f>
        <v>-2.0165157700830605E-2</v>
      </c>
      <c r="O65" s="1">
        <f t="shared" ca="1" si="8"/>
        <v>-2.0891647872091499E-2</v>
      </c>
      <c r="Q65" s="82">
        <f t="shared" si="7"/>
        <v>40365.255700000002</v>
      </c>
    </row>
    <row r="66" spans="1:21" x14ac:dyDescent="0.2">
      <c r="A66" s="63" t="s">
        <v>307</v>
      </c>
      <c r="B66" s="54" t="s">
        <v>270</v>
      </c>
      <c r="C66" s="55">
        <v>55390.416709999998</v>
      </c>
      <c r="D66" s="55">
        <v>2.0000000000000001E-4</v>
      </c>
      <c r="E66" s="1">
        <f t="shared" si="5"/>
        <v>6566.9656683818939</v>
      </c>
      <c r="F66" s="1">
        <f t="shared" si="6"/>
        <v>6567</v>
      </c>
      <c r="G66" s="1">
        <f t="shared" si="9"/>
        <v>-2.0791340852156281E-2</v>
      </c>
      <c r="K66" s="1">
        <f>+G66</f>
        <v>-2.0791340852156281E-2</v>
      </c>
      <c r="O66" s="1">
        <f t="shared" ca="1" si="8"/>
        <v>-2.0954745222616405E-2</v>
      </c>
      <c r="Q66" s="82">
        <f t="shared" si="7"/>
        <v>40371.916709999998</v>
      </c>
    </row>
    <row r="67" spans="1:21" x14ac:dyDescent="0.2">
      <c r="A67" s="63" t="s">
        <v>307</v>
      </c>
      <c r="B67" s="54" t="s">
        <v>270</v>
      </c>
      <c r="C67" s="55">
        <v>55390.41691</v>
      </c>
      <c r="D67" s="55">
        <v>2.9999999999999997E-4</v>
      </c>
      <c r="E67" s="1">
        <f t="shared" si="5"/>
        <v>6566.9659986310944</v>
      </c>
      <c r="F67" s="1">
        <f t="shared" si="6"/>
        <v>6567</v>
      </c>
      <c r="G67" s="1">
        <f t="shared" si="9"/>
        <v>-2.0591340849932749E-2</v>
      </c>
      <c r="K67" s="1">
        <f>+G67</f>
        <v>-2.0591340849932749E-2</v>
      </c>
      <c r="O67" s="1">
        <f t="shared" ca="1" si="8"/>
        <v>-2.0954745222616405E-2</v>
      </c>
      <c r="Q67" s="82">
        <f t="shared" si="7"/>
        <v>40371.91691</v>
      </c>
    </row>
    <row r="68" spans="1:21" x14ac:dyDescent="0.2">
      <c r="A68" s="60" t="s">
        <v>309</v>
      </c>
      <c r="B68" s="61" t="s">
        <v>299</v>
      </c>
      <c r="C68" s="62">
        <v>55807.370300000002</v>
      </c>
      <c r="D68" s="62">
        <v>2E-3</v>
      </c>
      <c r="E68" s="1">
        <f t="shared" si="5"/>
        <v>7255.4586097407764</v>
      </c>
      <c r="F68" s="1">
        <f t="shared" si="6"/>
        <v>7255.5</v>
      </c>
      <c r="G68" s="1">
        <f t="shared" si="9"/>
        <v>-2.5066077134397347E-2</v>
      </c>
      <c r="J68" s="1">
        <f>G68</f>
        <v>-2.5066077134397347E-2</v>
      </c>
      <c r="O68" s="1">
        <f t="shared" ca="1" si="8"/>
        <v>-2.4904065753198094E-2</v>
      </c>
      <c r="Q68" s="82">
        <f t="shared" si="7"/>
        <v>40788.870300000002</v>
      </c>
    </row>
    <row r="69" spans="1:21" x14ac:dyDescent="0.2">
      <c r="A69" s="60" t="s">
        <v>310</v>
      </c>
      <c r="B69" s="61" t="s">
        <v>270</v>
      </c>
      <c r="C69" s="62">
        <v>55811.305569999997</v>
      </c>
      <c r="D69" s="62">
        <v>4.0000000000000002E-4</v>
      </c>
      <c r="E69" s="1">
        <f t="shared" si="5"/>
        <v>7261.9567085275921</v>
      </c>
      <c r="F69" s="1">
        <f t="shared" si="6"/>
        <v>7262</v>
      </c>
      <c r="G69" s="1">
        <f t="shared" si="9"/>
        <v>-2.6217458093015011E-2</v>
      </c>
      <c r="K69" s="1">
        <f>+G69</f>
        <v>-2.6217458093015011E-2</v>
      </c>
      <c r="O69" s="1">
        <f t="shared" ca="1" si="8"/>
        <v>-2.4941350551235541E-2</v>
      </c>
      <c r="Q69" s="82">
        <f t="shared" si="7"/>
        <v>40792.805569999997</v>
      </c>
    </row>
    <row r="70" spans="1:21" x14ac:dyDescent="0.2">
      <c r="A70" s="47" t="s">
        <v>311</v>
      </c>
      <c r="B70" s="58" t="s">
        <v>270</v>
      </c>
      <c r="C70" s="47">
        <v>55849.659</v>
      </c>
      <c r="D70" s="47">
        <v>6.0000000000000001E-3</v>
      </c>
      <c r="E70" s="1">
        <f t="shared" si="5"/>
        <v>7325.2876558205598</v>
      </c>
      <c r="F70" s="1">
        <f t="shared" si="6"/>
        <v>7325.5</v>
      </c>
      <c r="O70" s="1">
        <f t="shared" ca="1" si="8"/>
        <v>-2.5305594347447505E-2</v>
      </c>
      <c r="Q70" s="82">
        <f t="shared" si="7"/>
        <v>40831.159</v>
      </c>
      <c r="U70" s="70">
        <v>-0.12859633354673861</v>
      </c>
    </row>
    <row r="71" spans="1:21" x14ac:dyDescent="0.2">
      <c r="A71" s="47" t="s">
        <v>311</v>
      </c>
      <c r="B71" s="58" t="s">
        <v>270</v>
      </c>
      <c r="C71" s="47">
        <v>55850.6679</v>
      </c>
      <c r="D71" s="47">
        <v>4.0000000000000002E-4</v>
      </c>
      <c r="E71" s="1">
        <f t="shared" si="5"/>
        <v>7326.9535978946824</v>
      </c>
      <c r="F71" s="1">
        <f t="shared" si="6"/>
        <v>7327</v>
      </c>
      <c r="G71" s="1">
        <f t="shared" ref="G71:G79" si="10">+C71-(C$7+F71*C$8)</f>
        <v>-2.8101267613237724E-2</v>
      </c>
      <c r="K71" s="1">
        <f t="shared" ref="K71:K79" si="11">+G71</f>
        <v>-2.8101267613237724E-2</v>
      </c>
      <c r="O71" s="1">
        <f t="shared" ca="1" si="8"/>
        <v>-2.5314198531609992E-2</v>
      </c>
      <c r="Q71" s="82">
        <f t="shared" si="7"/>
        <v>40832.1679</v>
      </c>
    </row>
    <row r="72" spans="1:21" x14ac:dyDescent="0.2">
      <c r="A72" s="60" t="s">
        <v>310</v>
      </c>
      <c r="B72" s="61" t="s">
        <v>299</v>
      </c>
      <c r="C72" s="62">
        <v>56220.386279999999</v>
      </c>
      <c r="D72" s="62">
        <v>1.1999999999999999E-3</v>
      </c>
      <c r="E72" s="1">
        <f t="shared" si="5"/>
        <v>7937.4495883972158</v>
      </c>
      <c r="F72" s="1">
        <f t="shared" si="6"/>
        <v>7937.5</v>
      </c>
      <c r="G72" s="1">
        <f t="shared" si="10"/>
        <v>-3.0529432471666951E-2</v>
      </c>
      <c r="K72" s="1">
        <f t="shared" si="11"/>
        <v>-3.0529432471666951E-2</v>
      </c>
      <c r="O72" s="1">
        <f t="shared" ca="1" si="8"/>
        <v>-2.8816101485742335E-2</v>
      </c>
      <c r="Q72" s="82">
        <f t="shared" si="7"/>
        <v>41201.886279999999</v>
      </c>
    </row>
    <row r="73" spans="1:21" x14ac:dyDescent="0.2">
      <c r="A73" s="60" t="s">
        <v>310</v>
      </c>
      <c r="B73" s="61" t="s">
        <v>299</v>
      </c>
      <c r="C73" s="62">
        <v>56220.386910000001</v>
      </c>
      <c r="D73" s="62">
        <v>6.9999999999999999E-4</v>
      </c>
      <c r="E73" s="1">
        <f t="shared" si="5"/>
        <v>7937.4506286821897</v>
      </c>
      <c r="F73" s="1">
        <f t="shared" si="6"/>
        <v>7937.5</v>
      </c>
      <c r="G73" s="1">
        <f t="shared" si="10"/>
        <v>-2.9899432469392195E-2</v>
      </c>
      <c r="K73" s="1">
        <f t="shared" si="11"/>
        <v>-2.9899432469392195E-2</v>
      </c>
      <c r="O73" s="1">
        <f t="shared" ca="1" si="8"/>
        <v>-2.8816101485742335E-2</v>
      </c>
      <c r="Q73" s="82">
        <f t="shared" si="7"/>
        <v>41201.886910000001</v>
      </c>
    </row>
    <row r="74" spans="1:21" x14ac:dyDescent="0.2">
      <c r="A74" s="63" t="s">
        <v>312</v>
      </c>
      <c r="B74" s="54" t="s">
        <v>270</v>
      </c>
      <c r="C74" s="55">
        <v>56220.6898</v>
      </c>
      <c r="D74" s="55">
        <v>3.0000000000000003E-4</v>
      </c>
      <c r="E74" s="1">
        <f t="shared" si="5"/>
        <v>7937.9507745785413</v>
      </c>
      <c r="F74" s="1">
        <f t="shared" si="6"/>
        <v>7938</v>
      </c>
      <c r="G74" s="1">
        <f t="shared" si="10"/>
        <v>-2.9811077154590748E-2</v>
      </c>
      <c r="K74" s="1">
        <f t="shared" si="11"/>
        <v>-2.9811077154590748E-2</v>
      </c>
      <c r="O74" s="1">
        <f t="shared" ca="1" si="8"/>
        <v>-2.8818969547129831E-2</v>
      </c>
      <c r="Q74" s="82">
        <f t="shared" si="7"/>
        <v>41202.1898</v>
      </c>
    </row>
    <row r="75" spans="1:21" x14ac:dyDescent="0.2">
      <c r="A75" s="71" t="s">
        <v>313</v>
      </c>
      <c r="B75" s="72"/>
      <c r="C75" s="71">
        <v>56221.297429999999</v>
      </c>
      <c r="D75" s="71">
        <v>1E-4</v>
      </c>
      <c r="E75" s="1">
        <f t="shared" si="5"/>
        <v>7938.9541211763171</v>
      </c>
      <c r="F75" s="1">
        <f t="shared" si="6"/>
        <v>7939</v>
      </c>
      <c r="G75" s="1">
        <f t="shared" si="10"/>
        <v>-2.7784366531705018E-2</v>
      </c>
      <c r="K75" s="1">
        <f t="shared" si="11"/>
        <v>-2.7784366531705018E-2</v>
      </c>
      <c r="O75" s="1">
        <f t="shared" ca="1" si="8"/>
        <v>-2.8824705669904822E-2</v>
      </c>
      <c r="Q75" s="82">
        <f t="shared" si="7"/>
        <v>41202.797429999999</v>
      </c>
    </row>
    <row r="76" spans="1:21" x14ac:dyDescent="0.2">
      <c r="A76" s="71" t="s">
        <v>313</v>
      </c>
      <c r="B76" s="72"/>
      <c r="C76" s="71">
        <v>56221.298730000002</v>
      </c>
      <c r="D76" s="71">
        <v>2.0000000000000001E-4</v>
      </c>
      <c r="E76" s="1">
        <f t="shared" si="5"/>
        <v>7938.956267796103</v>
      </c>
      <c r="F76" s="1">
        <f t="shared" si="6"/>
        <v>7939</v>
      </c>
      <c r="G76" s="1">
        <f t="shared" si="10"/>
        <v>-2.6484366528165992E-2</v>
      </c>
      <c r="K76" s="1">
        <f t="shared" si="11"/>
        <v>-2.6484366528165992E-2</v>
      </c>
      <c r="O76" s="1">
        <f t="shared" ca="1" si="8"/>
        <v>-2.8824705669904822E-2</v>
      </c>
      <c r="Q76" s="82">
        <f t="shared" si="7"/>
        <v>41202.798730000002</v>
      </c>
    </row>
    <row r="77" spans="1:21" x14ac:dyDescent="0.2">
      <c r="A77" s="73" t="s">
        <v>314</v>
      </c>
      <c r="B77" s="74" t="s">
        <v>270</v>
      </c>
      <c r="C77" s="75">
        <v>57297.444100000001</v>
      </c>
      <c r="D77" s="83">
        <v>2.9999999999999997E-4</v>
      </c>
      <c r="E77" s="1">
        <f t="shared" si="5"/>
        <v>9715.9369891301812</v>
      </c>
      <c r="F77" s="1">
        <f t="shared" si="6"/>
        <v>9716</v>
      </c>
      <c r="G77" s="1">
        <f t="shared" si="10"/>
        <v>-3.815959003259195E-2</v>
      </c>
      <c r="K77" s="1">
        <f t="shared" si="11"/>
        <v>-3.815959003259195E-2</v>
      </c>
      <c r="O77" s="1">
        <f t="shared" ca="1" si="8"/>
        <v>-3.9017795841064823E-2</v>
      </c>
      <c r="Q77" s="82">
        <f t="shared" si="7"/>
        <v>42278.944100000001</v>
      </c>
    </row>
    <row r="78" spans="1:21" x14ac:dyDescent="0.2">
      <c r="A78" s="76" t="s">
        <v>315</v>
      </c>
      <c r="B78" s="77" t="s">
        <v>270</v>
      </c>
      <c r="C78" s="78">
        <v>57658.379939999999</v>
      </c>
      <c r="D78" s="78">
        <v>2.0000000000000001E-4</v>
      </c>
      <c r="E78" s="1">
        <f t="shared" si="5"/>
        <v>10311.930845720875</v>
      </c>
      <c r="F78" s="1">
        <f t="shared" si="6"/>
        <v>10312</v>
      </c>
      <c r="G78" s="1">
        <f t="shared" si="10"/>
        <v>-4.1880058910464868E-2</v>
      </c>
      <c r="K78" s="1">
        <f t="shared" si="11"/>
        <v>-4.1880058910464868E-2</v>
      </c>
      <c r="O78" s="1">
        <f t="shared" ca="1" si="8"/>
        <v>-4.24365250149598E-2</v>
      </c>
      <c r="Q78" s="82">
        <f t="shared" si="7"/>
        <v>42639.879939999999</v>
      </c>
    </row>
    <row r="79" spans="1:21" x14ac:dyDescent="0.2">
      <c r="A79" s="76" t="s">
        <v>315</v>
      </c>
      <c r="B79" s="77" t="s">
        <v>270</v>
      </c>
      <c r="C79" s="78">
        <v>57692.292529999999</v>
      </c>
      <c r="D79" s="78">
        <v>2.0000000000000001E-4</v>
      </c>
      <c r="E79" s="1">
        <f t="shared" si="5"/>
        <v>10367.92887379445</v>
      </c>
      <c r="F79" s="1">
        <f t="shared" si="6"/>
        <v>10368</v>
      </c>
      <c r="G79" s="1">
        <f t="shared" si="10"/>
        <v>-4.3074264045571908E-2</v>
      </c>
      <c r="K79" s="1">
        <f t="shared" si="11"/>
        <v>-4.3074264045571908E-2</v>
      </c>
      <c r="O79" s="1">
        <f t="shared" ca="1" si="8"/>
        <v>-4.2757747890359327E-2</v>
      </c>
      <c r="Q79" s="82">
        <f t="shared" si="7"/>
        <v>42673.792529999999</v>
      </c>
    </row>
    <row r="80" spans="1:21" x14ac:dyDescent="0.2">
      <c r="A80" s="79" t="s">
        <v>316</v>
      </c>
      <c r="B80" s="80" t="s">
        <v>270</v>
      </c>
      <c r="C80" s="81">
        <v>57715.305759999901</v>
      </c>
      <c r="D80" s="81">
        <v>2.9999999999999997E-4</v>
      </c>
      <c r="E80" s="1">
        <f>+(C80-C$7)/C$8</f>
        <v>10405.929377430359</v>
      </c>
      <c r="F80" s="1">
        <f t="shared" si="6"/>
        <v>10406</v>
      </c>
      <c r="G80" s="1">
        <f>+C80-(C$7+F80*C$8)</f>
        <v>-4.2769260478962678E-2</v>
      </c>
      <c r="K80" s="1">
        <f>+G80</f>
        <v>-4.2769260478962678E-2</v>
      </c>
      <c r="O80" s="1">
        <f ca="1">+C$11+C$12*F80</f>
        <v>-4.2975720555809005E-2</v>
      </c>
      <c r="Q80" s="82">
        <f>C80-15018.5</f>
        <v>42696.805759999901</v>
      </c>
    </row>
    <row r="81" spans="1:17" x14ac:dyDescent="0.2">
      <c r="A81" s="79" t="s">
        <v>316</v>
      </c>
      <c r="B81" s="80" t="s">
        <v>270</v>
      </c>
      <c r="C81" s="81">
        <v>57715.305840000045</v>
      </c>
      <c r="D81" s="81">
        <v>2.9999999999999997E-4</v>
      </c>
      <c r="E81" s="1">
        <f>+(C81-C$7)/C$8</f>
        <v>10405.929509530275</v>
      </c>
      <c r="F81" s="1">
        <f t="shared" si="6"/>
        <v>10406</v>
      </c>
      <c r="G81" s="1">
        <f>+C81-(C$7+F81*C$8)</f>
        <v>-4.2689260335464496E-2</v>
      </c>
      <c r="K81" s="1">
        <f>+G81</f>
        <v>-4.2689260335464496E-2</v>
      </c>
      <c r="O81" s="1">
        <f ca="1">+C$11+C$12*F81</f>
        <v>-4.2975720555809005E-2</v>
      </c>
      <c r="Q81" s="82">
        <f>C81-15018.5</f>
        <v>42696.805840000045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workbookViewId="0">
      <selection activeCell="C15" sqref="C15"/>
    </sheetView>
  </sheetViews>
  <sheetFormatPr defaultColWidth="10.28515625" defaultRowHeight="12.75" x14ac:dyDescent="0.2"/>
  <cols>
    <col min="1" max="1" width="16.5703125" style="1" customWidth="1"/>
    <col min="2" max="2" width="5.140625" style="1" customWidth="1"/>
    <col min="3" max="3" width="18.85546875" style="1" customWidth="1"/>
    <col min="4" max="4" width="9.7109375" style="1" customWidth="1"/>
    <col min="5" max="6" width="9.42578125" style="1" customWidth="1"/>
    <col min="7" max="7" width="11" style="1" customWidth="1"/>
    <col min="8" max="15" width="10.28515625" style="1"/>
    <col min="16" max="16" width="9.7109375" style="1" customWidth="1"/>
    <col min="17" max="17" width="9.85546875" style="1" customWidth="1"/>
    <col min="18" max="16384" width="10.28515625" style="1"/>
  </cols>
  <sheetData>
    <row r="1" spans="1:4" ht="20.25" x14ac:dyDescent="0.3">
      <c r="A1" s="2" t="s">
        <v>0</v>
      </c>
    </row>
    <row r="2" spans="1:4" x14ac:dyDescent="0.2">
      <c r="A2" s="1" t="s">
        <v>1</v>
      </c>
      <c r="B2" s="1" t="s">
        <v>2</v>
      </c>
    </row>
    <row r="4" spans="1:4" x14ac:dyDescent="0.2">
      <c r="A4" s="3" t="s">
        <v>3</v>
      </c>
      <c r="C4" s="4">
        <v>24791.68</v>
      </c>
      <c r="D4" s="5">
        <v>0.60563</v>
      </c>
    </row>
    <row r="6" spans="1:4" x14ac:dyDescent="0.2">
      <c r="A6" s="3" t="s">
        <v>4</v>
      </c>
    </row>
    <row r="7" spans="1:4" x14ac:dyDescent="0.2">
      <c r="A7" s="1" t="s">
        <v>5</v>
      </c>
      <c r="C7" s="1">
        <f>C4</f>
        <v>24791.68</v>
      </c>
    </row>
    <row r="8" spans="1:4" x14ac:dyDescent="0.2">
      <c r="A8" s="1" t="s">
        <v>6</v>
      </c>
      <c r="C8" s="1">
        <f>D4</f>
        <v>0.60563</v>
      </c>
    </row>
    <row r="9" spans="1:4" x14ac:dyDescent="0.2">
      <c r="A9" s="1" t="s">
        <v>7</v>
      </c>
      <c r="C9" s="1">
        <v>0.2</v>
      </c>
    </row>
    <row r="10" spans="1:4" x14ac:dyDescent="0.2">
      <c r="C10" s="6" t="s">
        <v>8</v>
      </c>
      <c r="D10" s="6" t="s">
        <v>9</v>
      </c>
    </row>
    <row r="11" spans="1:4" x14ac:dyDescent="0.2">
      <c r="A11" s="1" t="s">
        <v>10</v>
      </c>
      <c r="C11" s="1">
        <f>INTERCEPT(G22:G98,F22:F98)</f>
        <v>1.2569120612923037</v>
      </c>
      <c r="D11" s="7"/>
    </row>
    <row r="12" spans="1:4" x14ac:dyDescent="0.2">
      <c r="A12" s="1" t="s">
        <v>11</v>
      </c>
      <c r="C12" s="1">
        <f>SLOPE(G22:G98,F22:F98)</f>
        <v>-2.6710622681091165E-5</v>
      </c>
    </row>
    <row r="13" spans="1:4" x14ac:dyDescent="0.2">
      <c r="A13" s="1" t="s">
        <v>12</v>
      </c>
    </row>
    <row r="14" spans="1:4" x14ac:dyDescent="0.2">
      <c r="A14" s="1" t="s">
        <v>13</v>
      </c>
    </row>
    <row r="15" spans="1:4" x14ac:dyDescent="0.2">
      <c r="A15" s="3" t="s">
        <v>14</v>
      </c>
      <c r="C15" s="1">
        <v>51413.440699999999</v>
      </c>
    </row>
    <row r="16" spans="1:4" x14ac:dyDescent="0.2">
      <c r="A16" s="3" t="s">
        <v>15</v>
      </c>
      <c r="C16" s="1">
        <f>C8+C12</f>
        <v>0.60560328937731889</v>
      </c>
    </row>
    <row r="18" spans="1:34" x14ac:dyDescent="0.2">
      <c r="A18" s="3" t="s">
        <v>16</v>
      </c>
      <c r="C18" s="8">
        <f>C15</f>
        <v>51413.440699999999</v>
      </c>
      <c r="D18" s="9">
        <f>C16</f>
        <v>0.60560328937731889</v>
      </c>
    </row>
    <row r="19" spans="1:34" x14ac:dyDescent="0.2">
      <c r="C19" s="10"/>
    </row>
    <row r="20" spans="1:34" x14ac:dyDescent="0.2">
      <c r="A20" s="11" t="s">
        <v>17</v>
      </c>
      <c r="B20" s="12" t="s">
        <v>18</v>
      </c>
      <c r="C20" s="12" t="s">
        <v>19</v>
      </c>
      <c r="D20" s="12" t="s">
        <v>20</v>
      </c>
      <c r="E20" s="12" t="s">
        <v>21</v>
      </c>
      <c r="F20" s="12" t="s">
        <v>22</v>
      </c>
      <c r="G20" s="12" t="s">
        <v>23</v>
      </c>
      <c r="H20" s="13" t="s">
        <v>24</v>
      </c>
      <c r="I20" s="13" t="s">
        <v>25</v>
      </c>
      <c r="J20" s="13" t="str">
        <f>+A23</f>
        <v>IBVS 5296</v>
      </c>
      <c r="K20" s="14" t="s">
        <v>26</v>
      </c>
      <c r="L20" s="14" t="s">
        <v>27</v>
      </c>
      <c r="M20" s="14" t="s">
        <v>28</v>
      </c>
      <c r="N20" s="14" t="s">
        <v>29</v>
      </c>
      <c r="O20" s="14" t="s">
        <v>30</v>
      </c>
      <c r="P20" s="14" t="s">
        <v>31</v>
      </c>
      <c r="Q20" s="15" t="s">
        <v>32</v>
      </c>
    </row>
    <row r="21" spans="1:34" x14ac:dyDescent="0.2">
      <c r="A21" s="1" t="s">
        <v>24</v>
      </c>
      <c r="C21" s="1">
        <f>C$4</f>
        <v>24791.68</v>
      </c>
      <c r="D21" s="1" t="s">
        <v>33</v>
      </c>
      <c r="E21" s="1">
        <f t="shared" ref="E21:E34" si="0">+(C21-C$7)/C$8</f>
        <v>0</v>
      </c>
      <c r="F21" s="16">
        <v>-2</v>
      </c>
      <c r="G21" s="1">
        <f t="shared" ref="G21:G34" si="1">+C21-(C$7+F21*C$8)</f>
        <v>1.2112600000000384</v>
      </c>
      <c r="H21" s="1">
        <f>G21</f>
        <v>1.2112600000000384</v>
      </c>
      <c r="O21" s="1">
        <f t="shared" ref="O21:O34" si="2">+C$11+C$12*F21</f>
        <v>1.2569654825376659</v>
      </c>
      <c r="Q21" s="17">
        <f t="shared" ref="Q21:Q34" si="3">C21-15018.5</f>
        <v>9773.18</v>
      </c>
    </row>
    <row r="22" spans="1:34" x14ac:dyDescent="0.2">
      <c r="A22" s="1" t="s">
        <v>26</v>
      </c>
      <c r="C22" s="1">
        <v>49562.419699999999</v>
      </c>
      <c r="D22" s="1">
        <v>1E-3</v>
      </c>
      <c r="E22" s="1">
        <f t="shared" si="0"/>
        <v>40900.780509552031</v>
      </c>
      <c r="F22" s="16">
        <v>40900.5</v>
      </c>
      <c r="G22" s="1">
        <f t="shared" si="1"/>
        <v>0.16988499999570195</v>
      </c>
      <c r="K22" s="1">
        <f>+G22</f>
        <v>0.16988499999570195</v>
      </c>
      <c r="O22" s="1">
        <f t="shared" si="2"/>
        <v>0.16443423832433446</v>
      </c>
      <c r="Q22" s="17">
        <f t="shared" si="3"/>
        <v>34543.919699999999</v>
      </c>
    </row>
    <row r="23" spans="1:34" x14ac:dyDescent="0.2">
      <c r="A23" s="1" t="s">
        <v>26</v>
      </c>
      <c r="C23" s="1">
        <v>49574.5242</v>
      </c>
      <c r="D23" s="1">
        <v>4.0000000000000002E-4</v>
      </c>
      <c r="E23" s="1">
        <f t="shared" si="0"/>
        <v>40920.767135049449</v>
      </c>
      <c r="F23" s="16">
        <v>40920.5</v>
      </c>
      <c r="G23" s="1">
        <f t="shared" si="1"/>
        <v>0.1617850000038743</v>
      </c>
      <c r="K23" s="1">
        <f>+G23</f>
        <v>0.1617850000038743</v>
      </c>
      <c r="O23" s="1">
        <f t="shared" si="2"/>
        <v>0.16390002587071262</v>
      </c>
      <c r="Q23" s="17">
        <f t="shared" si="3"/>
        <v>34556.0242</v>
      </c>
    </row>
    <row r="24" spans="1:34" x14ac:dyDescent="0.2">
      <c r="A24" s="1" t="s">
        <v>26</v>
      </c>
      <c r="C24" s="1">
        <v>49581.491000000002</v>
      </c>
      <c r="D24" s="1">
        <v>3.0000000000000001E-3</v>
      </c>
      <c r="E24" s="1">
        <f t="shared" si="0"/>
        <v>40932.270528210298</v>
      </c>
      <c r="F24" s="16">
        <v>40932</v>
      </c>
      <c r="G24" s="1">
        <f t="shared" si="1"/>
        <v>0.16384000000107335</v>
      </c>
      <c r="K24" s="1">
        <f>+G24</f>
        <v>0.16384000000107335</v>
      </c>
      <c r="O24" s="1">
        <f t="shared" si="2"/>
        <v>0.16359285370988008</v>
      </c>
      <c r="Q24" s="17">
        <f t="shared" si="3"/>
        <v>34562.991000000002</v>
      </c>
    </row>
    <row r="25" spans="1:34" x14ac:dyDescent="0.2">
      <c r="A25" s="1" t="s">
        <v>26</v>
      </c>
      <c r="C25" s="1">
        <v>49587.546000000002</v>
      </c>
      <c r="D25" s="1">
        <v>4.0000000000000001E-3</v>
      </c>
      <c r="E25" s="1">
        <f t="shared" si="0"/>
        <v>40942.268381685193</v>
      </c>
      <c r="F25" s="16">
        <v>40942</v>
      </c>
      <c r="G25" s="1">
        <f t="shared" si="1"/>
        <v>0.16254000000481028</v>
      </c>
      <c r="K25" s="1">
        <f>+G25</f>
        <v>0.16254000000481028</v>
      </c>
      <c r="O25" s="1">
        <f t="shared" si="2"/>
        <v>0.16332574748306916</v>
      </c>
      <c r="Q25" s="17">
        <f t="shared" si="3"/>
        <v>34569.046000000002</v>
      </c>
    </row>
    <row r="26" spans="1:34" x14ac:dyDescent="0.2">
      <c r="A26" s="1" t="s">
        <v>26</v>
      </c>
      <c r="C26" s="1">
        <v>49618.428999999996</v>
      </c>
      <c r="D26" s="1">
        <v>5.9999999999999995E-4</v>
      </c>
      <c r="E26" s="1">
        <f t="shared" si="0"/>
        <v>40993.261562340034</v>
      </c>
      <c r="F26" s="16">
        <v>40993</v>
      </c>
      <c r="G26" s="1">
        <f t="shared" si="1"/>
        <v>0.15840999999636551</v>
      </c>
      <c r="K26" s="1">
        <f>+G26</f>
        <v>0.15840999999636551</v>
      </c>
      <c r="O26" s="1">
        <f t="shared" si="2"/>
        <v>0.16196350572633356</v>
      </c>
      <c r="Q26" s="17">
        <f t="shared" si="3"/>
        <v>34599.928999999996</v>
      </c>
    </row>
    <row r="27" spans="1:34" x14ac:dyDescent="0.2">
      <c r="A27" s="1" t="s">
        <v>34</v>
      </c>
      <c r="C27" s="1">
        <v>49999.358</v>
      </c>
      <c r="D27" s="1">
        <v>8.0000000000000002E-3</v>
      </c>
      <c r="E27" s="1">
        <f t="shared" si="0"/>
        <v>41622.241302445385</v>
      </c>
      <c r="F27" s="1">
        <f t="shared" ref="F27:F34" si="4">ROUND(2*E27,0)/2</f>
        <v>41622</v>
      </c>
      <c r="G27" s="1">
        <f t="shared" si="1"/>
        <v>0.14614000000437954</v>
      </c>
      <c r="M27" s="1">
        <f>G27</f>
        <v>0.14614000000437954</v>
      </c>
      <c r="O27" s="1">
        <f t="shared" si="2"/>
        <v>0.14516252405992724</v>
      </c>
      <c r="Q27" s="17">
        <f t="shared" si="3"/>
        <v>34980.858</v>
      </c>
      <c r="AC27" s="1">
        <v>27</v>
      </c>
      <c r="AE27" s="1" t="s">
        <v>35</v>
      </c>
      <c r="AF27" s="1" t="s">
        <v>36</v>
      </c>
      <c r="AH27" s="1" t="s">
        <v>37</v>
      </c>
    </row>
    <row r="28" spans="1:34" x14ac:dyDescent="0.2">
      <c r="A28" s="1" t="s">
        <v>26</v>
      </c>
      <c r="C28" s="1">
        <v>50671.577700000002</v>
      </c>
      <c r="D28" s="1">
        <v>5.0000000000000001E-4</v>
      </c>
      <c r="E28" s="1">
        <f t="shared" si="0"/>
        <v>42732.1924277199</v>
      </c>
      <c r="F28" s="1">
        <f t="shared" si="4"/>
        <v>42732</v>
      </c>
      <c r="G28" s="1">
        <f t="shared" si="1"/>
        <v>0.11654000000271481</v>
      </c>
      <c r="K28" s="1">
        <f>+G28</f>
        <v>0.11654000000271481</v>
      </c>
      <c r="O28" s="1">
        <f t="shared" si="2"/>
        <v>0.11551373288391598</v>
      </c>
      <c r="Q28" s="17">
        <f t="shared" si="3"/>
        <v>35653.077700000002</v>
      </c>
    </row>
    <row r="29" spans="1:34" x14ac:dyDescent="0.2">
      <c r="A29" s="1" t="s">
        <v>25</v>
      </c>
      <c r="C29" s="1">
        <v>51035.542800000003</v>
      </c>
      <c r="D29" s="1">
        <v>5.0000000000000001E-4</v>
      </c>
      <c r="E29" s="1">
        <f t="shared" si="0"/>
        <v>43333.161831481273</v>
      </c>
      <c r="F29" s="1">
        <f t="shared" si="4"/>
        <v>43333</v>
      </c>
      <c r="G29" s="1">
        <f t="shared" si="1"/>
        <v>9.8010000001522712E-2</v>
      </c>
      <c r="I29" s="1">
        <f>G29</f>
        <v>9.8010000001522712E-2</v>
      </c>
      <c r="O29" s="1">
        <f t="shared" si="2"/>
        <v>9.9460648652580197E-2</v>
      </c>
      <c r="Q29" s="17">
        <f t="shared" si="3"/>
        <v>36017.042800000003</v>
      </c>
    </row>
    <row r="30" spans="1:34" x14ac:dyDescent="0.2">
      <c r="A30" s="1" t="s">
        <v>26</v>
      </c>
      <c r="C30" s="1">
        <v>51390.427100000001</v>
      </c>
      <c r="D30" s="1">
        <v>5.9999999999999995E-4</v>
      </c>
      <c r="E30" s="1">
        <f t="shared" si="0"/>
        <v>43919.137262024669</v>
      </c>
      <c r="F30" s="1">
        <f t="shared" si="4"/>
        <v>43919</v>
      </c>
      <c r="G30" s="1">
        <f t="shared" si="1"/>
        <v>8.3129999999073334E-2</v>
      </c>
      <c r="K30" s="1">
        <f>+G30</f>
        <v>8.3129999999073334E-2</v>
      </c>
      <c r="O30" s="1">
        <f t="shared" si="2"/>
        <v>8.3808223761460798E-2</v>
      </c>
      <c r="Q30" s="17">
        <f t="shared" si="3"/>
        <v>36371.927100000001</v>
      </c>
    </row>
    <row r="31" spans="1:34" x14ac:dyDescent="0.2">
      <c r="A31" s="1" t="s">
        <v>26</v>
      </c>
      <c r="C31" s="1">
        <v>51413.440699999999</v>
      </c>
      <c r="D31" s="1">
        <v>6.9999999999999999E-4</v>
      </c>
      <c r="E31" s="1">
        <f t="shared" si="0"/>
        <v>43957.136700625793</v>
      </c>
      <c r="F31" s="1">
        <f t="shared" si="4"/>
        <v>43957</v>
      </c>
      <c r="G31" s="1">
        <f t="shared" si="1"/>
        <v>8.2790000000386499E-2</v>
      </c>
      <c r="K31" s="1">
        <f>+G31</f>
        <v>8.2790000000386499E-2</v>
      </c>
      <c r="O31" s="1">
        <f t="shared" si="2"/>
        <v>8.2793220099579345E-2</v>
      </c>
      <c r="Q31" s="17">
        <f t="shared" si="3"/>
        <v>36394.940699999999</v>
      </c>
    </row>
    <row r="32" spans="1:34" x14ac:dyDescent="0.2">
      <c r="A32" s="1" t="s">
        <v>38</v>
      </c>
      <c r="C32" s="18">
        <v>51465.521500000003</v>
      </c>
      <c r="D32" s="1">
        <v>8.2000000000000007E-3</v>
      </c>
      <c r="E32" s="1">
        <f t="shared" si="0"/>
        <v>44043.131119660524</v>
      </c>
      <c r="F32" s="1">
        <f t="shared" si="4"/>
        <v>44043</v>
      </c>
      <c r="G32" s="1">
        <f t="shared" si="1"/>
        <v>7.9410000005736947E-2</v>
      </c>
      <c r="J32" s="1">
        <f>+G32</f>
        <v>7.9410000005736947E-2</v>
      </c>
      <c r="O32" s="1">
        <f t="shared" si="2"/>
        <v>8.0496106549005519E-2</v>
      </c>
      <c r="Q32" s="17">
        <f t="shared" si="3"/>
        <v>36447.021500000003</v>
      </c>
    </row>
    <row r="33" spans="1:17" x14ac:dyDescent="0.2">
      <c r="A33" s="1" t="s">
        <v>26</v>
      </c>
      <c r="C33" s="19">
        <v>52137.443800000001</v>
      </c>
      <c r="D33" s="1">
        <v>1.9E-3</v>
      </c>
      <c r="E33" s="1">
        <f t="shared" si="0"/>
        <v>45152.59118603768</v>
      </c>
      <c r="F33" s="1">
        <f t="shared" si="4"/>
        <v>45152.5</v>
      </c>
      <c r="G33" s="1">
        <f t="shared" si="1"/>
        <v>5.522499999642605E-2</v>
      </c>
      <c r="K33" s="1">
        <f>+G33</f>
        <v>5.522499999642605E-2</v>
      </c>
      <c r="O33" s="1">
        <f t="shared" si="2"/>
        <v>5.0860670684334863E-2</v>
      </c>
      <c r="Q33" s="17">
        <f t="shared" si="3"/>
        <v>37118.943800000001</v>
      </c>
    </row>
    <row r="34" spans="1:17" x14ac:dyDescent="0.2">
      <c r="A34" s="3" t="s">
        <v>39</v>
      </c>
      <c r="C34">
        <v>52534.712800000001</v>
      </c>
      <c r="D34" s="1">
        <v>2.9999999999999997E-4</v>
      </c>
      <c r="E34" s="1">
        <f t="shared" si="0"/>
        <v>45808.55109555339</v>
      </c>
      <c r="F34" s="1">
        <f t="shared" si="4"/>
        <v>45808.5</v>
      </c>
      <c r="G34" s="1">
        <f t="shared" si="1"/>
        <v>3.0944999998610001E-2</v>
      </c>
      <c r="L34" s="1">
        <f>+G34</f>
        <v>3.0944999998610001E-2</v>
      </c>
      <c r="O34" s="1">
        <f t="shared" si="2"/>
        <v>3.3338502205539022E-2</v>
      </c>
      <c r="Q34" s="17">
        <f t="shared" si="3"/>
        <v>37516.212800000001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A28" workbookViewId="0">
      <selection activeCell="A57" sqref="A57"/>
    </sheetView>
  </sheetViews>
  <sheetFormatPr defaultRowHeight="12.75" x14ac:dyDescent="0.2"/>
  <cols>
    <col min="1" max="1" width="19.7109375" style="20" customWidth="1"/>
    <col min="2" max="2" width="4.42578125" customWidth="1"/>
    <col min="3" max="3" width="12.7109375" style="20" customWidth="1"/>
    <col min="4" max="4" width="5.42578125" customWidth="1"/>
    <col min="5" max="5" width="14.85546875" customWidth="1"/>
    <col min="7" max="7" width="12" customWidth="1"/>
    <col min="8" max="8" width="14.140625" style="2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21" t="s">
        <v>40</v>
      </c>
      <c r="I1" s="22" t="s">
        <v>41</v>
      </c>
      <c r="J1" s="23" t="s">
        <v>42</v>
      </c>
    </row>
    <row r="2" spans="1:16" x14ac:dyDescent="0.2">
      <c r="I2" s="24" t="s">
        <v>43</v>
      </c>
      <c r="J2" s="25" t="s">
        <v>44</v>
      </c>
    </row>
    <row r="3" spans="1:16" x14ac:dyDescent="0.2">
      <c r="A3" s="26" t="s">
        <v>45</v>
      </c>
      <c r="I3" s="24" t="s">
        <v>46</v>
      </c>
      <c r="J3" s="25" t="s">
        <v>47</v>
      </c>
    </row>
    <row r="4" spans="1:16" x14ac:dyDescent="0.2">
      <c r="I4" s="24" t="s">
        <v>48</v>
      </c>
      <c r="J4" s="25" t="s">
        <v>47</v>
      </c>
    </row>
    <row r="5" spans="1:16" x14ac:dyDescent="0.2">
      <c r="I5" s="27" t="s">
        <v>49</v>
      </c>
      <c r="J5" s="28" t="s">
        <v>50</v>
      </c>
    </row>
    <row r="11" spans="1:16" ht="12.75" customHeight="1" x14ac:dyDescent="0.2">
      <c r="A11" s="20" t="str">
        <f t="shared" ref="A11:A42" si="0">P11</f>
        <v> HA 90.167 </v>
      </c>
      <c r="B11" s="7" t="str">
        <f t="shared" ref="B11:B42" si="1">IF(H11=INT(H11),"I","II")</f>
        <v>I</v>
      </c>
      <c r="C11" s="20">
        <f t="shared" ref="C11:C42" si="2">1*G11</f>
        <v>24791.68</v>
      </c>
      <c r="D11" t="str">
        <f t="shared" ref="D11:D42" si="3">VLOOKUP(F11,I$1:J$5,2,FALSE)</f>
        <v>vis</v>
      </c>
      <c r="E11">
        <f>VLOOKUP(C11,Active!C$21:E$966,3,FALSE)</f>
        <v>-43959.07546567735</v>
      </c>
      <c r="F11" s="7" t="s">
        <v>49</v>
      </c>
      <c r="G11" t="str">
        <f t="shared" ref="G11:G42" si="4">MID(I11,3,LEN(I11)-3)</f>
        <v>24791.68</v>
      </c>
      <c r="H11" s="20">
        <f t="shared" ref="H11:H42" si="5">1*K11</f>
        <v>0</v>
      </c>
      <c r="I11" s="29" t="s">
        <v>51</v>
      </c>
      <c r="J11" s="30" t="s">
        <v>52</v>
      </c>
      <c r="K11" s="29">
        <v>0</v>
      </c>
      <c r="L11" s="29" t="s">
        <v>53</v>
      </c>
      <c r="M11" s="30" t="s">
        <v>54</v>
      </c>
      <c r="N11" s="30"/>
      <c r="O11" s="31" t="s">
        <v>55</v>
      </c>
      <c r="P11" s="31" t="s">
        <v>56</v>
      </c>
    </row>
    <row r="12" spans="1:16" ht="12.75" customHeight="1" x14ac:dyDescent="0.2">
      <c r="A12" s="20" t="str">
        <f t="shared" si="0"/>
        <v>BAVM 152 </v>
      </c>
      <c r="B12" s="7" t="str">
        <f t="shared" si="1"/>
        <v>I</v>
      </c>
      <c r="C12" s="20">
        <f t="shared" si="2"/>
        <v>49562.419699999999</v>
      </c>
      <c r="D12" t="str">
        <f t="shared" si="3"/>
        <v>vis</v>
      </c>
      <c r="E12">
        <f>VLOOKUP(C12,Active!C$21:E$966,3,FALSE)</f>
        <v>-3056.4909941344931</v>
      </c>
      <c r="F12" s="7" t="s">
        <v>49</v>
      </c>
      <c r="G12" t="str">
        <f t="shared" si="4"/>
        <v>49562.4197</v>
      </c>
      <c r="H12" s="20">
        <f t="shared" si="5"/>
        <v>40901</v>
      </c>
      <c r="I12" s="29" t="s">
        <v>57</v>
      </c>
      <c r="J12" s="30" t="s">
        <v>58</v>
      </c>
      <c r="K12" s="29">
        <v>40901</v>
      </c>
      <c r="L12" s="29" t="s">
        <v>59</v>
      </c>
      <c r="M12" s="30" t="s">
        <v>60</v>
      </c>
      <c r="N12" s="30" t="s">
        <v>61</v>
      </c>
      <c r="O12" s="31" t="s">
        <v>62</v>
      </c>
      <c r="P12" s="32" t="s">
        <v>63</v>
      </c>
    </row>
    <row r="13" spans="1:16" ht="12.75" customHeight="1" x14ac:dyDescent="0.2">
      <c r="A13" s="20" t="str">
        <f t="shared" si="0"/>
        <v>BAVM 152 </v>
      </c>
      <c r="B13" s="7" t="str">
        <f t="shared" si="1"/>
        <v>I</v>
      </c>
      <c r="C13" s="20">
        <f t="shared" si="2"/>
        <v>49574.5242</v>
      </c>
      <c r="D13" t="str">
        <f t="shared" si="3"/>
        <v>vis</v>
      </c>
      <c r="E13">
        <f>VLOOKUP(C13,Active!C$21:E$966,3,FALSE)</f>
        <v>-3036.5034871107996</v>
      </c>
      <c r="F13" s="7" t="s">
        <v>49</v>
      </c>
      <c r="G13" t="str">
        <f t="shared" si="4"/>
        <v>49574.5242</v>
      </c>
      <c r="H13" s="20">
        <f t="shared" si="5"/>
        <v>40921</v>
      </c>
      <c r="I13" s="29" t="s">
        <v>64</v>
      </c>
      <c r="J13" s="30" t="s">
        <v>65</v>
      </c>
      <c r="K13" s="29">
        <v>40921</v>
      </c>
      <c r="L13" s="29" t="s">
        <v>66</v>
      </c>
      <c r="M13" s="30" t="s">
        <v>60</v>
      </c>
      <c r="N13" s="30" t="s">
        <v>61</v>
      </c>
      <c r="O13" s="31" t="s">
        <v>62</v>
      </c>
      <c r="P13" s="32" t="s">
        <v>63</v>
      </c>
    </row>
    <row r="14" spans="1:16" ht="12.75" customHeight="1" x14ac:dyDescent="0.2">
      <c r="A14" s="20" t="str">
        <f t="shared" si="0"/>
        <v>BAVM 152 </v>
      </c>
      <c r="B14" s="7" t="str">
        <f t="shared" si="1"/>
        <v>I</v>
      </c>
      <c r="C14" s="20">
        <f t="shared" si="2"/>
        <v>49581.491000000002</v>
      </c>
      <c r="D14" t="str">
        <f t="shared" si="3"/>
        <v>vis</v>
      </c>
      <c r="E14">
        <f>VLOOKUP(C14,Active!C$21:E$966,3,FALSE)</f>
        <v>-3024.9995865834999</v>
      </c>
      <c r="F14" s="7" t="s">
        <v>49</v>
      </c>
      <c r="G14" t="str">
        <f t="shared" si="4"/>
        <v>49581.491</v>
      </c>
      <c r="H14" s="20">
        <f t="shared" si="5"/>
        <v>40932</v>
      </c>
      <c r="I14" s="29" t="s">
        <v>67</v>
      </c>
      <c r="J14" s="30" t="s">
        <v>68</v>
      </c>
      <c r="K14" s="29">
        <v>40932</v>
      </c>
      <c r="L14" s="29" t="s">
        <v>69</v>
      </c>
      <c r="M14" s="30" t="s">
        <v>60</v>
      </c>
      <c r="N14" s="30" t="s">
        <v>61</v>
      </c>
      <c r="O14" s="31" t="s">
        <v>62</v>
      </c>
      <c r="P14" s="32" t="s">
        <v>63</v>
      </c>
    </row>
    <row r="15" spans="1:16" ht="12.75" customHeight="1" x14ac:dyDescent="0.2">
      <c r="A15" s="20" t="str">
        <f t="shared" si="0"/>
        <v>BAVM 152 </v>
      </c>
      <c r="B15" s="7" t="str">
        <f t="shared" si="1"/>
        <v>I</v>
      </c>
      <c r="C15" s="20">
        <f t="shared" si="2"/>
        <v>49587.546000000002</v>
      </c>
      <c r="D15" t="str">
        <f t="shared" si="3"/>
        <v>vis</v>
      </c>
      <c r="E15">
        <f>VLOOKUP(C15,Active!C$21:E$966,3,FALSE)</f>
        <v>-3015.0012921451953</v>
      </c>
      <c r="F15" s="7" t="s">
        <v>49</v>
      </c>
      <c r="G15" t="str">
        <f t="shared" si="4"/>
        <v>49587.546</v>
      </c>
      <c r="H15" s="20">
        <f t="shared" si="5"/>
        <v>40942</v>
      </c>
      <c r="I15" s="29" t="s">
        <v>70</v>
      </c>
      <c r="J15" s="30" t="s">
        <v>71</v>
      </c>
      <c r="K15" s="29">
        <v>40942</v>
      </c>
      <c r="L15" s="29" t="s">
        <v>72</v>
      </c>
      <c r="M15" s="30" t="s">
        <v>60</v>
      </c>
      <c r="N15" s="30" t="s">
        <v>61</v>
      </c>
      <c r="O15" s="31" t="s">
        <v>62</v>
      </c>
      <c r="P15" s="32" t="s">
        <v>63</v>
      </c>
    </row>
    <row r="16" spans="1:16" ht="12.75" customHeight="1" x14ac:dyDescent="0.2">
      <c r="A16" s="20" t="str">
        <f t="shared" si="0"/>
        <v>BAVM 152 </v>
      </c>
      <c r="B16" s="7" t="str">
        <f t="shared" si="1"/>
        <v>I</v>
      </c>
      <c r="C16" s="20">
        <f t="shared" si="2"/>
        <v>49618.428999999996</v>
      </c>
      <c r="D16" t="str">
        <f t="shared" si="3"/>
        <v>vis</v>
      </c>
      <c r="E16">
        <f>VLOOKUP(C16,Active!C$21:E$966,3,FALSE)</f>
        <v>-2964.0058623948908</v>
      </c>
      <c r="F16" s="7" t="s">
        <v>49</v>
      </c>
      <c r="G16" t="str">
        <f t="shared" si="4"/>
        <v>49618.4290</v>
      </c>
      <c r="H16" s="20">
        <f t="shared" si="5"/>
        <v>40993</v>
      </c>
      <c r="I16" s="29" t="s">
        <v>73</v>
      </c>
      <c r="J16" s="30" t="s">
        <v>74</v>
      </c>
      <c r="K16" s="29">
        <v>40993</v>
      </c>
      <c r="L16" s="29" t="s">
        <v>75</v>
      </c>
      <c r="M16" s="30" t="s">
        <v>60</v>
      </c>
      <c r="N16" s="30" t="s">
        <v>61</v>
      </c>
      <c r="O16" s="31" t="s">
        <v>62</v>
      </c>
      <c r="P16" s="32" t="s">
        <v>63</v>
      </c>
    </row>
    <row r="17" spans="1:16" ht="12.75" customHeight="1" x14ac:dyDescent="0.2">
      <c r="A17" s="20" t="str">
        <f t="shared" si="0"/>
        <v> BBS 112 </v>
      </c>
      <c r="B17" s="7" t="str">
        <f t="shared" si="1"/>
        <v>I</v>
      </c>
      <c r="C17" s="20">
        <f t="shared" si="2"/>
        <v>49999.358</v>
      </c>
      <c r="D17" t="str">
        <f t="shared" si="3"/>
        <v>vis</v>
      </c>
      <c r="E17">
        <f>VLOOKUP(C17,Active!C$21:E$966,3,FALSE)</f>
        <v>-2334.9983806296004</v>
      </c>
      <c r="F17" s="7" t="s">
        <v>49</v>
      </c>
      <c r="G17" t="str">
        <f t="shared" si="4"/>
        <v>49999.358</v>
      </c>
      <c r="H17" s="20">
        <f t="shared" si="5"/>
        <v>41622</v>
      </c>
      <c r="I17" s="29" t="s">
        <v>76</v>
      </c>
      <c r="J17" s="30" t="s">
        <v>77</v>
      </c>
      <c r="K17" s="29">
        <v>41622</v>
      </c>
      <c r="L17" s="29" t="s">
        <v>78</v>
      </c>
      <c r="M17" s="30" t="s">
        <v>60</v>
      </c>
      <c r="N17" s="30" t="s">
        <v>79</v>
      </c>
      <c r="O17" s="31" t="s">
        <v>80</v>
      </c>
      <c r="P17" s="31" t="s">
        <v>81</v>
      </c>
    </row>
    <row r="18" spans="1:16" ht="12.75" customHeight="1" x14ac:dyDescent="0.2">
      <c r="A18" s="20" t="str">
        <f t="shared" si="0"/>
        <v>BAVM 152 </v>
      </c>
      <c r="B18" s="7" t="str">
        <f t="shared" si="1"/>
        <v>I</v>
      </c>
      <c r="C18" s="20">
        <f t="shared" si="2"/>
        <v>50671.577700000002</v>
      </c>
      <c r="D18" t="str">
        <f t="shared" si="3"/>
        <v>vis</v>
      </c>
      <c r="E18">
        <f>VLOOKUP(C18,Active!C$21:E$966,3,FALSE)</f>
        <v>-1224.9983000633647</v>
      </c>
      <c r="F18" s="7" t="s">
        <v>49</v>
      </c>
      <c r="G18" t="str">
        <f t="shared" si="4"/>
        <v>50671.5777</v>
      </c>
      <c r="H18" s="20">
        <f t="shared" si="5"/>
        <v>42732</v>
      </c>
      <c r="I18" s="29" t="s">
        <v>82</v>
      </c>
      <c r="J18" s="30" t="s">
        <v>83</v>
      </c>
      <c r="K18" s="29">
        <v>42732</v>
      </c>
      <c r="L18" s="29" t="s">
        <v>84</v>
      </c>
      <c r="M18" s="30" t="s">
        <v>60</v>
      </c>
      <c r="N18" s="30" t="s">
        <v>61</v>
      </c>
      <c r="O18" s="31" t="s">
        <v>62</v>
      </c>
      <c r="P18" s="32" t="s">
        <v>63</v>
      </c>
    </row>
    <row r="19" spans="1:16" ht="12.75" customHeight="1" x14ac:dyDescent="0.2">
      <c r="A19" s="20" t="str">
        <f t="shared" si="0"/>
        <v>BAVM 118 </v>
      </c>
      <c r="B19" s="7" t="str">
        <f t="shared" si="1"/>
        <v>I</v>
      </c>
      <c r="C19" s="20">
        <f t="shared" si="2"/>
        <v>51035.542800000003</v>
      </c>
      <c r="D19" t="str">
        <f t="shared" si="3"/>
        <v>vis</v>
      </c>
      <c r="E19">
        <f>VLOOKUP(C19,Active!C$21:E$966,3,FALSE)</f>
        <v>-624.00239006058041</v>
      </c>
      <c r="F19" s="7" t="s">
        <v>49</v>
      </c>
      <c r="G19" t="str">
        <f t="shared" si="4"/>
        <v>51035.5428</v>
      </c>
      <c r="H19" s="20">
        <f t="shared" si="5"/>
        <v>43333</v>
      </c>
      <c r="I19" s="29" t="s">
        <v>85</v>
      </c>
      <c r="J19" s="30" t="s">
        <v>86</v>
      </c>
      <c r="K19" s="29">
        <v>43333</v>
      </c>
      <c r="L19" s="29" t="s">
        <v>87</v>
      </c>
      <c r="M19" s="30" t="s">
        <v>60</v>
      </c>
      <c r="N19" s="30" t="s">
        <v>61</v>
      </c>
      <c r="O19" s="31" t="s">
        <v>62</v>
      </c>
      <c r="P19" s="32" t="s">
        <v>88</v>
      </c>
    </row>
    <row r="20" spans="1:16" ht="12.75" customHeight="1" x14ac:dyDescent="0.2">
      <c r="A20" s="20" t="str">
        <f t="shared" si="0"/>
        <v>BAVM 152 </v>
      </c>
      <c r="B20" s="7" t="str">
        <f t="shared" si="1"/>
        <v>I</v>
      </c>
      <c r="C20" s="20">
        <f t="shared" si="2"/>
        <v>51390.427100000001</v>
      </c>
      <c r="D20" t="str">
        <f t="shared" si="3"/>
        <v>vis</v>
      </c>
      <c r="E20">
        <f>VLOOKUP(C20,Active!C$21:E$966,3,FALSE)</f>
        <v>-38.001114597083813</v>
      </c>
      <c r="F20" s="7" t="s">
        <v>49</v>
      </c>
      <c r="G20" t="str">
        <f t="shared" si="4"/>
        <v>51390.4271</v>
      </c>
      <c r="H20" s="20">
        <f t="shared" si="5"/>
        <v>43919</v>
      </c>
      <c r="I20" s="29" t="s">
        <v>89</v>
      </c>
      <c r="J20" s="30" t="s">
        <v>90</v>
      </c>
      <c r="K20" s="29">
        <v>43919</v>
      </c>
      <c r="L20" s="29" t="s">
        <v>91</v>
      </c>
      <c r="M20" s="30" t="s">
        <v>60</v>
      </c>
      <c r="N20" s="30" t="s">
        <v>61</v>
      </c>
      <c r="O20" s="31" t="s">
        <v>62</v>
      </c>
      <c r="P20" s="32" t="s">
        <v>63</v>
      </c>
    </row>
    <row r="21" spans="1:16" ht="12.75" customHeight="1" x14ac:dyDescent="0.2">
      <c r="A21" s="20" t="str">
        <f t="shared" si="0"/>
        <v>BAVM 152 </v>
      </c>
      <c r="B21" s="7" t="str">
        <f t="shared" si="1"/>
        <v>I</v>
      </c>
      <c r="C21" s="20">
        <f t="shared" si="2"/>
        <v>51413.440699999999</v>
      </c>
      <c r="D21" t="str">
        <f t="shared" si="3"/>
        <v>vis</v>
      </c>
      <c r="E21">
        <f>VLOOKUP(C21,Active!C$21:E$966,3,FALSE)</f>
        <v>0</v>
      </c>
      <c r="F21" s="7" t="s">
        <v>49</v>
      </c>
      <c r="G21" t="str">
        <f t="shared" si="4"/>
        <v>51413.4407</v>
      </c>
      <c r="H21" s="20">
        <f t="shared" si="5"/>
        <v>43957</v>
      </c>
      <c r="I21" s="29" t="s">
        <v>92</v>
      </c>
      <c r="J21" s="30" t="s">
        <v>93</v>
      </c>
      <c r="K21" s="29">
        <v>43957</v>
      </c>
      <c r="L21" s="29" t="s">
        <v>94</v>
      </c>
      <c r="M21" s="30" t="s">
        <v>60</v>
      </c>
      <c r="N21" s="30" t="s">
        <v>61</v>
      </c>
      <c r="O21" s="31" t="s">
        <v>62</v>
      </c>
      <c r="P21" s="32" t="s">
        <v>63</v>
      </c>
    </row>
    <row r="22" spans="1:16" ht="12.75" customHeight="1" x14ac:dyDescent="0.2">
      <c r="A22" s="20" t="str">
        <f t="shared" si="0"/>
        <v>IBVS 5263 </v>
      </c>
      <c r="B22" s="7" t="str">
        <f t="shared" si="1"/>
        <v>I</v>
      </c>
      <c r="C22" s="20">
        <f t="shared" si="2"/>
        <v>51465.521500000003</v>
      </c>
      <c r="D22" t="str">
        <f t="shared" si="3"/>
        <v>vis</v>
      </c>
      <c r="E22">
        <f>VLOOKUP(C22,Active!C$21:E$966,3,FALSE)</f>
        <v>85.998211888103882</v>
      </c>
      <c r="F22" s="7" t="s">
        <v>49</v>
      </c>
      <c r="G22" t="str">
        <f t="shared" si="4"/>
        <v>51465.5215</v>
      </c>
      <c r="H22" s="20">
        <f t="shared" si="5"/>
        <v>44043</v>
      </c>
      <c r="I22" s="29" t="s">
        <v>95</v>
      </c>
      <c r="J22" s="30" t="s">
        <v>96</v>
      </c>
      <c r="K22" s="29">
        <v>44043</v>
      </c>
      <c r="L22" s="29" t="s">
        <v>97</v>
      </c>
      <c r="M22" s="30" t="s">
        <v>60</v>
      </c>
      <c r="N22" s="30" t="s">
        <v>79</v>
      </c>
      <c r="O22" s="31" t="s">
        <v>98</v>
      </c>
      <c r="P22" s="32" t="s">
        <v>99</v>
      </c>
    </row>
    <row r="23" spans="1:16" ht="12.75" customHeight="1" x14ac:dyDescent="0.2">
      <c r="A23" s="20" t="str">
        <f t="shared" si="0"/>
        <v>BAVM 152 </v>
      </c>
      <c r="B23" s="7" t="str">
        <f t="shared" si="1"/>
        <v>II</v>
      </c>
      <c r="C23" s="20">
        <f t="shared" si="2"/>
        <v>52137.443800000001</v>
      </c>
      <c r="D23" t="str">
        <f t="shared" si="3"/>
        <v>vis</v>
      </c>
      <c r="E23">
        <f>VLOOKUP(C23,Active!C$21:E$966,3,FALSE)</f>
        <v>1195.5072118984385</v>
      </c>
      <c r="F23" s="7" t="s">
        <v>49</v>
      </c>
      <c r="G23" t="str">
        <f t="shared" si="4"/>
        <v>52137.4438</v>
      </c>
      <c r="H23" s="20">
        <f t="shared" si="5"/>
        <v>45152.5</v>
      </c>
      <c r="I23" s="29" t="s">
        <v>100</v>
      </c>
      <c r="J23" s="30" t="s">
        <v>101</v>
      </c>
      <c r="K23" s="29">
        <v>45152.5</v>
      </c>
      <c r="L23" s="29" t="s">
        <v>102</v>
      </c>
      <c r="M23" s="30" t="s">
        <v>60</v>
      </c>
      <c r="N23" s="30" t="s">
        <v>61</v>
      </c>
      <c r="O23" s="31" t="s">
        <v>62</v>
      </c>
      <c r="P23" s="32" t="s">
        <v>63</v>
      </c>
    </row>
    <row r="24" spans="1:16" ht="12.75" customHeight="1" x14ac:dyDescent="0.2">
      <c r="A24" s="20" t="str">
        <f t="shared" si="0"/>
        <v>BAVM 172 </v>
      </c>
      <c r="B24" s="7" t="str">
        <f t="shared" si="1"/>
        <v>II</v>
      </c>
      <c r="C24" s="20">
        <f t="shared" si="2"/>
        <v>52484.452400000002</v>
      </c>
      <c r="D24" t="str">
        <f t="shared" si="3"/>
        <v>vis</v>
      </c>
      <c r="E24">
        <f>VLOOKUP(C24,Active!C$21:E$966,3,FALSE)</f>
        <v>1768.5037693590084</v>
      </c>
      <c r="F24" s="7" t="s">
        <v>49</v>
      </c>
      <c r="G24" t="str">
        <f t="shared" si="4"/>
        <v>52484.4524</v>
      </c>
      <c r="H24" s="20">
        <f t="shared" si="5"/>
        <v>45725.5</v>
      </c>
      <c r="I24" s="29" t="s">
        <v>103</v>
      </c>
      <c r="J24" s="30" t="s">
        <v>104</v>
      </c>
      <c r="K24" s="29">
        <v>45725.5</v>
      </c>
      <c r="L24" s="29" t="s">
        <v>105</v>
      </c>
      <c r="M24" s="30" t="s">
        <v>60</v>
      </c>
      <c r="N24" s="30" t="s">
        <v>61</v>
      </c>
      <c r="O24" s="31" t="s">
        <v>106</v>
      </c>
      <c r="P24" s="32" t="s">
        <v>107</v>
      </c>
    </row>
    <row r="25" spans="1:16" ht="12.75" customHeight="1" x14ac:dyDescent="0.2">
      <c r="A25" s="20" t="str">
        <f t="shared" si="0"/>
        <v>BAVM 158 </v>
      </c>
      <c r="B25" s="7" t="str">
        <f t="shared" si="1"/>
        <v>I</v>
      </c>
      <c r="C25" s="20">
        <f t="shared" si="2"/>
        <v>52505.340900000003</v>
      </c>
      <c r="D25" t="str">
        <f t="shared" si="3"/>
        <v>vis</v>
      </c>
      <c r="E25">
        <f>VLOOKUP(C25,Active!C$21:E$966,3,FALSE)</f>
        <v>1802.9958211136784</v>
      </c>
      <c r="F25" s="7" t="s">
        <v>49</v>
      </c>
      <c r="G25" t="str">
        <f t="shared" si="4"/>
        <v>52505.3409</v>
      </c>
      <c r="H25" s="20">
        <f t="shared" si="5"/>
        <v>45760</v>
      </c>
      <c r="I25" s="29" t="s">
        <v>108</v>
      </c>
      <c r="J25" s="30" t="s">
        <v>109</v>
      </c>
      <c r="K25" s="29">
        <v>45760</v>
      </c>
      <c r="L25" s="29" t="s">
        <v>110</v>
      </c>
      <c r="M25" s="30" t="s">
        <v>60</v>
      </c>
      <c r="N25" s="30" t="s">
        <v>61</v>
      </c>
      <c r="O25" s="31" t="s">
        <v>62</v>
      </c>
      <c r="P25" s="32" t="s">
        <v>111</v>
      </c>
    </row>
    <row r="26" spans="1:16" ht="12.75" customHeight="1" x14ac:dyDescent="0.2">
      <c r="A26" s="20" t="str">
        <f t="shared" si="0"/>
        <v>BAVM 158 </v>
      </c>
      <c r="B26" s="7" t="str">
        <f t="shared" si="1"/>
        <v>II</v>
      </c>
      <c r="C26" s="20">
        <f t="shared" si="2"/>
        <v>52510.491099999999</v>
      </c>
      <c r="D26" t="str">
        <f t="shared" si="3"/>
        <v>vis</v>
      </c>
      <c r="E26">
        <f>VLOOKUP(C26,Active!C$21:E$966,3,FALSE)</f>
        <v>1811.500068184879</v>
      </c>
      <c r="F26" s="7" t="s">
        <v>49</v>
      </c>
      <c r="G26" t="str">
        <f t="shared" si="4"/>
        <v>52510.4911</v>
      </c>
      <c r="H26" s="20">
        <f t="shared" si="5"/>
        <v>45768.5</v>
      </c>
      <c r="I26" s="29" t="s">
        <v>112</v>
      </c>
      <c r="J26" s="30" t="s">
        <v>113</v>
      </c>
      <c r="K26" s="29">
        <v>45768.5</v>
      </c>
      <c r="L26" s="29" t="s">
        <v>114</v>
      </c>
      <c r="M26" s="30" t="s">
        <v>60</v>
      </c>
      <c r="N26" s="30" t="s">
        <v>61</v>
      </c>
      <c r="O26" s="31" t="s">
        <v>62</v>
      </c>
      <c r="P26" s="32" t="s">
        <v>111</v>
      </c>
    </row>
    <row r="27" spans="1:16" ht="12.75" customHeight="1" x14ac:dyDescent="0.2">
      <c r="A27" s="20" t="str">
        <f t="shared" si="0"/>
        <v>IBVS 5371 </v>
      </c>
      <c r="B27" s="7" t="str">
        <f t="shared" si="1"/>
        <v>II</v>
      </c>
      <c r="C27" s="20">
        <f t="shared" si="2"/>
        <v>52534.7137</v>
      </c>
      <c r="D27" t="str">
        <f t="shared" si="3"/>
        <v>vis</v>
      </c>
      <c r="E27">
        <f>VLOOKUP(C27,Active!C$21:E$966,3,FALSE)</f>
        <v>1851.4975391776579</v>
      </c>
      <c r="F27" s="7" t="s">
        <v>49</v>
      </c>
      <c r="G27" t="str">
        <f t="shared" si="4"/>
        <v>52534.7137</v>
      </c>
      <c r="H27" s="20">
        <f t="shared" si="5"/>
        <v>45808.5</v>
      </c>
      <c r="I27" s="29" t="s">
        <v>115</v>
      </c>
      <c r="J27" s="30" t="s">
        <v>116</v>
      </c>
      <c r="K27" s="29">
        <v>45808.5</v>
      </c>
      <c r="L27" s="29" t="s">
        <v>117</v>
      </c>
      <c r="M27" s="30" t="s">
        <v>60</v>
      </c>
      <c r="N27" s="30" t="s">
        <v>79</v>
      </c>
      <c r="O27" s="31" t="s">
        <v>118</v>
      </c>
      <c r="P27" s="32" t="s">
        <v>119</v>
      </c>
    </row>
    <row r="28" spans="1:16" ht="12.75" customHeight="1" x14ac:dyDescent="0.2">
      <c r="A28" s="20" t="str">
        <f t="shared" si="0"/>
        <v>BAVM 172 </v>
      </c>
      <c r="B28" s="7" t="str">
        <f t="shared" si="1"/>
        <v>II</v>
      </c>
      <c r="C28" s="20">
        <f t="shared" si="2"/>
        <v>52834.493600000002</v>
      </c>
      <c r="D28" t="str">
        <f t="shared" si="3"/>
        <v>vis</v>
      </c>
      <c r="E28">
        <f>VLOOKUP(C28,Active!C$21:E$966,3,FALSE)</f>
        <v>2346.5078953932507</v>
      </c>
      <c r="F28" s="7" t="s">
        <v>49</v>
      </c>
      <c r="G28" t="str">
        <f t="shared" si="4"/>
        <v>52834.4936</v>
      </c>
      <c r="H28" s="20">
        <f t="shared" si="5"/>
        <v>46303.5</v>
      </c>
      <c r="I28" s="29" t="s">
        <v>120</v>
      </c>
      <c r="J28" s="30" t="s">
        <v>121</v>
      </c>
      <c r="K28" s="29">
        <v>46303.5</v>
      </c>
      <c r="L28" s="29" t="s">
        <v>122</v>
      </c>
      <c r="M28" s="30" t="s">
        <v>60</v>
      </c>
      <c r="N28" s="30" t="s">
        <v>123</v>
      </c>
      <c r="O28" s="31" t="s">
        <v>124</v>
      </c>
      <c r="P28" s="32" t="s">
        <v>107</v>
      </c>
    </row>
    <row r="29" spans="1:16" ht="12.75" customHeight="1" x14ac:dyDescent="0.2">
      <c r="A29" s="20" t="str">
        <f t="shared" si="0"/>
        <v>BAVM 172 </v>
      </c>
      <c r="B29" s="7" t="str">
        <f t="shared" si="1"/>
        <v>I</v>
      </c>
      <c r="C29" s="20">
        <f t="shared" si="2"/>
        <v>52878.391499999998</v>
      </c>
      <c r="D29" t="str">
        <f t="shared" si="3"/>
        <v>vis</v>
      </c>
      <c r="E29">
        <f>VLOOKUP(C29,Active!C$21:E$966,3,FALSE)</f>
        <v>2418.9941265118632</v>
      </c>
      <c r="F29" s="7" t="s">
        <v>49</v>
      </c>
      <c r="G29" t="str">
        <f t="shared" si="4"/>
        <v>52878.3915</v>
      </c>
      <c r="H29" s="20">
        <f t="shared" si="5"/>
        <v>46376</v>
      </c>
      <c r="I29" s="29" t="s">
        <v>125</v>
      </c>
      <c r="J29" s="30" t="s">
        <v>126</v>
      </c>
      <c r="K29" s="29" t="s">
        <v>127</v>
      </c>
      <c r="L29" s="29" t="s">
        <v>128</v>
      </c>
      <c r="M29" s="30" t="s">
        <v>60</v>
      </c>
      <c r="N29" s="30" t="s">
        <v>61</v>
      </c>
      <c r="O29" s="31" t="s">
        <v>62</v>
      </c>
      <c r="P29" s="32" t="s">
        <v>107</v>
      </c>
    </row>
    <row r="30" spans="1:16" ht="12.75" customHeight="1" x14ac:dyDescent="0.2">
      <c r="A30" s="20" t="str">
        <f t="shared" si="0"/>
        <v>BAVM 172 </v>
      </c>
      <c r="B30" s="7" t="str">
        <f t="shared" si="1"/>
        <v>I</v>
      </c>
      <c r="C30" s="20">
        <f t="shared" si="2"/>
        <v>52887.474099999999</v>
      </c>
      <c r="D30" t="str">
        <f t="shared" si="3"/>
        <v>vis</v>
      </c>
      <c r="E30">
        <f>VLOOKUP(C30,Active!C$21:E$966,3,FALSE)</f>
        <v>2433.9917332939208</v>
      </c>
      <c r="F30" s="7" t="s">
        <v>49</v>
      </c>
      <c r="G30" t="str">
        <f t="shared" si="4"/>
        <v>52887.4741</v>
      </c>
      <c r="H30" s="20">
        <f t="shared" si="5"/>
        <v>46391</v>
      </c>
      <c r="I30" s="29" t="s">
        <v>129</v>
      </c>
      <c r="J30" s="30" t="s">
        <v>130</v>
      </c>
      <c r="K30" s="29" t="s">
        <v>131</v>
      </c>
      <c r="L30" s="29" t="s">
        <v>132</v>
      </c>
      <c r="M30" s="30" t="s">
        <v>60</v>
      </c>
      <c r="N30" s="30" t="s">
        <v>61</v>
      </c>
      <c r="O30" s="31" t="s">
        <v>62</v>
      </c>
      <c r="P30" s="32" t="s">
        <v>107</v>
      </c>
    </row>
    <row r="31" spans="1:16" ht="12.75" customHeight="1" x14ac:dyDescent="0.2">
      <c r="A31" s="20" t="str">
        <f t="shared" si="0"/>
        <v> JAAVSO 41;122 </v>
      </c>
      <c r="B31" s="7" t="str">
        <f t="shared" si="1"/>
        <v>I</v>
      </c>
      <c r="C31" s="20">
        <f t="shared" si="2"/>
        <v>52965.599000000002</v>
      </c>
      <c r="D31" t="str">
        <f t="shared" si="3"/>
        <v>vis</v>
      </c>
      <c r="E31">
        <f>VLOOKUP(C31,Active!C$21:E$966,3,FALSE)</f>
        <v>2562.9951607362163</v>
      </c>
      <c r="F31" s="7" t="s">
        <v>49</v>
      </c>
      <c r="G31" t="str">
        <f t="shared" si="4"/>
        <v>52965.5990</v>
      </c>
      <c r="H31" s="20">
        <f t="shared" si="5"/>
        <v>46520</v>
      </c>
      <c r="I31" s="29" t="s">
        <v>133</v>
      </c>
      <c r="J31" s="30" t="s">
        <v>134</v>
      </c>
      <c r="K31" s="29" t="s">
        <v>135</v>
      </c>
      <c r="L31" s="29" t="s">
        <v>136</v>
      </c>
      <c r="M31" s="30" t="s">
        <v>137</v>
      </c>
      <c r="N31" s="30" t="s">
        <v>138</v>
      </c>
      <c r="O31" s="31" t="s">
        <v>139</v>
      </c>
      <c r="P31" s="31" t="s">
        <v>140</v>
      </c>
    </row>
    <row r="32" spans="1:16" ht="12.75" customHeight="1" x14ac:dyDescent="0.2">
      <c r="A32" s="20" t="str">
        <f t="shared" si="0"/>
        <v>BAVM 173 </v>
      </c>
      <c r="B32" s="7" t="str">
        <f t="shared" si="1"/>
        <v>I</v>
      </c>
      <c r="C32" s="20">
        <f t="shared" si="2"/>
        <v>53217.527600000001</v>
      </c>
      <c r="D32" t="str">
        <f t="shared" si="3"/>
        <v>vis</v>
      </c>
      <c r="E32">
        <f>VLOOKUP(C32,Active!C$21:E$966,3,FALSE)</f>
        <v>2978.9912499566567</v>
      </c>
      <c r="F32" s="7" t="s">
        <v>49</v>
      </c>
      <c r="G32" t="str">
        <f t="shared" si="4"/>
        <v>53217.5276</v>
      </c>
      <c r="H32" s="20">
        <f t="shared" si="5"/>
        <v>46936</v>
      </c>
      <c r="I32" s="29" t="s">
        <v>141</v>
      </c>
      <c r="J32" s="30" t="s">
        <v>142</v>
      </c>
      <c r="K32" s="29" t="s">
        <v>143</v>
      </c>
      <c r="L32" s="29" t="s">
        <v>144</v>
      </c>
      <c r="M32" s="30" t="s">
        <v>60</v>
      </c>
      <c r="N32" s="30" t="s">
        <v>61</v>
      </c>
      <c r="O32" s="31" t="s">
        <v>62</v>
      </c>
      <c r="P32" s="32" t="s">
        <v>145</v>
      </c>
    </row>
    <row r="33" spans="1:16" ht="12.75" customHeight="1" x14ac:dyDescent="0.2">
      <c r="A33" s="20" t="str">
        <f t="shared" si="0"/>
        <v>BAVM 173 </v>
      </c>
      <c r="B33" s="7" t="str">
        <f t="shared" si="1"/>
        <v>II</v>
      </c>
      <c r="C33" s="20">
        <f t="shared" si="2"/>
        <v>53221.464399999997</v>
      </c>
      <c r="D33" t="str">
        <f t="shared" si="3"/>
        <v>vis</v>
      </c>
      <c r="E33">
        <f>VLOOKUP(C33,Active!C$21:E$966,3,FALSE)</f>
        <v>2985.4918751498317</v>
      </c>
      <c r="F33" s="7" t="s">
        <v>49</v>
      </c>
      <c r="G33" t="str">
        <f t="shared" si="4"/>
        <v>53221.4644</v>
      </c>
      <c r="H33" s="20">
        <f t="shared" si="5"/>
        <v>46942.5</v>
      </c>
      <c r="I33" s="29" t="s">
        <v>146</v>
      </c>
      <c r="J33" s="30" t="s">
        <v>147</v>
      </c>
      <c r="K33" s="29" t="s">
        <v>148</v>
      </c>
      <c r="L33" s="29" t="s">
        <v>149</v>
      </c>
      <c r="M33" s="30" t="s">
        <v>60</v>
      </c>
      <c r="N33" s="30" t="s">
        <v>61</v>
      </c>
      <c r="O33" s="31" t="s">
        <v>62</v>
      </c>
      <c r="P33" s="32" t="s">
        <v>145</v>
      </c>
    </row>
    <row r="34" spans="1:16" ht="12.75" customHeight="1" x14ac:dyDescent="0.2">
      <c r="A34" s="20" t="str">
        <f t="shared" si="0"/>
        <v>BAVM 173 </v>
      </c>
      <c r="B34" s="7" t="str">
        <f t="shared" si="1"/>
        <v>I</v>
      </c>
      <c r="C34" s="20">
        <f t="shared" si="2"/>
        <v>53228.427499999998</v>
      </c>
      <c r="D34" t="str">
        <f t="shared" si="3"/>
        <v>vis</v>
      </c>
      <c r="E34">
        <f>VLOOKUP(C34,Active!C$21:E$966,3,FALSE)</f>
        <v>2996.9896660669851</v>
      </c>
      <c r="F34" s="7" t="s">
        <v>49</v>
      </c>
      <c r="G34" t="str">
        <f t="shared" si="4"/>
        <v>53228.4275</v>
      </c>
      <c r="H34" s="20">
        <f t="shared" si="5"/>
        <v>46954</v>
      </c>
      <c r="I34" s="29" t="s">
        <v>150</v>
      </c>
      <c r="J34" s="30" t="s">
        <v>151</v>
      </c>
      <c r="K34" s="29" t="s">
        <v>152</v>
      </c>
      <c r="L34" s="29" t="s">
        <v>153</v>
      </c>
      <c r="M34" s="30" t="s">
        <v>60</v>
      </c>
      <c r="N34" s="30" t="s">
        <v>61</v>
      </c>
      <c r="O34" s="31" t="s">
        <v>62</v>
      </c>
      <c r="P34" s="32" t="s">
        <v>145</v>
      </c>
    </row>
    <row r="35" spans="1:16" ht="12.75" customHeight="1" x14ac:dyDescent="0.2">
      <c r="A35" s="20" t="str">
        <f t="shared" si="0"/>
        <v>BAVM 173 </v>
      </c>
      <c r="B35" s="7" t="str">
        <f t="shared" si="1"/>
        <v>I</v>
      </c>
      <c r="C35" s="20">
        <f t="shared" si="2"/>
        <v>53242.356899999999</v>
      </c>
      <c r="D35" t="str">
        <f t="shared" si="3"/>
        <v>vis</v>
      </c>
      <c r="E35">
        <f>VLOOKUP(C35,Active!C$21:E$966,3,FALSE)</f>
        <v>3019.9905318884425</v>
      </c>
      <c r="F35" s="7" t="s">
        <v>49</v>
      </c>
      <c r="G35" t="str">
        <f t="shared" si="4"/>
        <v>53242.3569</v>
      </c>
      <c r="H35" s="20">
        <f t="shared" si="5"/>
        <v>46977</v>
      </c>
      <c r="I35" s="29" t="s">
        <v>154</v>
      </c>
      <c r="J35" s="30" t="s">
        <v>155</v>
      </c>
      <c r="K35" s="29" t="s">
        <v>156</v>
      </c>
      <c r="L35" s="29" t="s">
        <v>157</v>
      </c>
      <c r="M35" s="30" t="s">
        <v>60</v>
      </c>
      <c r="N35" s="30" t="s">
        <v>61</v>
      </c>
      <c r="O35" s="31" t="s">
        <v>62</v>
      </c>
      <c r="P35" s="32" t="s">
        <v>145</v>
      </c>
    </row>
    <row r="36" spans="1:16" ht="12.75" customHeight="1" x14ac:dyDescent="0.2">
      <c r="A36" s="20" t="str">
        <f t="shared" si="0"/>
        <v>BAVM 173 </v>
      </c>
      <c r="B36" s="7" t="str">
        <f t="shared" si="1"/>
        <v>II</v>
      </c>
      <c r="C36" s="20">
        <f t="shared" si="2"/>
        <v>53250.539499999999</v>
      </c>
      <c r="D36" t="str">
        <f t="shared" si="3"/>
        <v>vis</v>
      </c>
      <c r="E36">
        <f>VLOOKUP(C36,Active!C$21:E$966,3,FALSE)</f>
        <v>3033.5020172841269</v>
      </c>
      <c r="F36" s="7" t="s">
        <v>49</v>
      </c>
      <c r="G36" t="str">
        <f t="shared" si="4"/>
        <v>53250.5395</v>
      </c>
      <c r="H36" s="20">
        <f t="shared" si="5"/>
        <v>46990.5</v>
      </c>
      <c r="I36" s="29" t="s">
        <v>158</v>
      </c>
      <c r="J36" s="30" t="s">
        <v>159</v>
      </c>
      <c r="K36" s="29" t="s">
        <v>160</v>
      </c>
      <c r="L36" s="29" t="s">
        <v>161</v>
      </c>
      <c r="M36" s="30" t="s">
        <v>60</v>
      </c>
      <c r="N36" s="30" t="s">
        <v>61</v>
      </c>
      <c r="O36" s="31" t="s">
        <v>62</v>
      </c>
      <c r="P36" s="32" t="s">
        <v>145</v>
      </c>
    </row>
    <row r="37" spans="1:16" ht="12.75" customHeight="1" x14ac:dyDescent="0.2">
      <c r="A37" s="20" t="str">
        <f t="shared" si="0"/>
        <v>BAVM 173 </v>
      </c>
      <c r="B37" s="7" t="str">
        <f t="shared" si="1"/>
        <v>I</v>
      </c>
      <c r="C37" s="20">
        <f t="shared" si="2"/>
        <v>53251.440300000002</v>
      </c>
      <c r="D37" t="str">
        <f t="shared" si="3"/>
        <v>vis</v>
      </c>
      <c r="E37">
        <f>VLOOKUP(C37,Active!C$21:E$966,3,FALSE)</f>
        <v>3034.9894596672907</v>
      </c>
      <c r="F37" s="7" t="s">
        <v>49</v>
      </c>
      <c r="G37" t="str">
        <f t="shared" si="4"/>
        <v>53251.4403</v>
      </c>
      <c r="H37" s="20">
        <f t="shared" si="5"/>
        <v>46992</v>
      </c>
      <c r="I37" s="29" t="s">
        <v>162</v>
      </c>
      <c r="J37" s="30" t="s">
        <v>163</v>
      </c>
      <c r="K37" s="29" t="s">
        <v>164</v>
      </c>
      <c r="L37" s="29" t="s">
        <v>165</v>
      </c>
      <c r="M37" s="30" t="s">
        <v>60</v>
      </c>
      <c r="N37" s="30" t="s">
        <v>61</v>
      </c>
      <c r="O37" s="31" t="s">
        <v>62</v>
      </c>
      <c r="P37" s="32" t="s">
        <v>145</v>
      </c>
    </row>
    <row r="38" spans="1:16" ht="12.75" customHeight="1" x14ac:dyDescent="0.2">
      <c r="A38" s="20" t="str">
        <f t="shared" si="0"/>
        <v>BAVM 173 </v>
      </c>
      <c r="B38" s="7" t="str">
        <f t="shared" si="1"/>
        <v>I</v>
      </c>
      <c r="C38" s="20">
        <f t="shared" si="2"/>
        <v>53254.468500000003</v>
      </c>
      <c r="D38" t="str">
        <f t="shared" si="3"/>
        <v>vis</v>
      </c>
      <c r="E38">
        <f>VLOOKUP(C38,Active!C$21:E$966,3,FALSE)</f>
        <v>3039.9897627586333</v>
      </c>
      <c r="F38" s="7" t="s">
        <v>49</v>
      </c>
      <c r="G38" t="str">
        <f t="shared" si="4"/>
        <v>53254.4685</v>
      </c>
      <c r="H38" s="20">
        <f t="shared" si="5"/>
        <v>46997</v>
      </c>
      <c r="I38" s="29" t="s">
        <v>166</v>
      </c>
      <c r="J38" s="30" t="s">
        <v>167</v>
      </c>
      <c r="K38" s="29" t="s">
        <v>168</v>
      </c>
      <c r="L38" s="29" t="s">
        <v>169</v>
      </c>
      <c r="M38" s="30" t="s">
        <v>60</v>
      </c>
      <c r="N38" s="30" t="s">
        <v>61</v>
      </c>
      <c r="O38" s="31" t="s">
        <v>62</v>
      </c>
      <c r="P38" s="32" t="s">
        <v>145</v>
      </c>
    </row>
    <row r="39" spans="1:16" ht="12.75" customHeight="1" x14ac:dyDescent="0.2">
      <c r="A39" s="20" t="str">
        <f t="shared" si="0"/>
        <v>BAVM 173 </v>
      </c>
      <c r="B39" s="7" t="str">
        <f t="shared" si="1"/>
        <v>II</v>
      </c>
      <c r="C39" s="20">
        <f t="shared" si="2"/>
        <v>53255.3802</v>
      </c>
      <c r="D39" t="str">
        <f t="shared" si="3"/>
        <v>vis</v>
      </c>
      <c r="E39">
        <f>VLOOKUP(C39,Active!C$21:E$966,3,FALSE)</f>
        <v>3041.4952037230214</v>
      </c>
      <c r="F39" s="7" t="s">
        <v>49</v>
      </c>
      <c r="G39" t="str">
        <f t="shared" si="4"/>
        <v>53255.3802</v>
      </c>
      <c r="H39" s="20">
        <f t="shared" si="5"/>
        <v>46998.5</v>
      </c>
      <c r="I39" s="29" t="s">
        <v>170</v>
      </c>
      <c r="J39" s="30" t="s">
        <v>171</v>
      </c>
      <c r="K39" s="29" t="s">
        <v>172</v>
      </c>
      <c r="L39" s="29" t="s">
        <v>173</v>
      </c>
      <c r="M39" s="30" t="s">
        <v>60</v>
      </c>
      <c r="N39" s="30" t="s">
        <v>61</v>
      </c>
      <c r="O39" s="31" t="s">
        <v>62</v>
      </c>
      <c r="P39" s="32" t="s">
        <v>145</v>
      </c>
    </row>
    <row r="40" spans="1:16" ht="12.75" customHeight="1" x14ac:dyDescent="0.2">
      <c r="A40" s="20" t="str">
        <f t="shared" si="0"/>
        <v>BAVM 173 </v>
      </c>
      <c r="B40" s="7" t="str">
        <f t="shared" si="1"/>
        <v>II</v>
      </c>
      <c r="C40" s="20">
        <f t="shared" si="2"/>
        <v>53256.591899999999</v>
      </c>
      <c r="D40" t="str">
        <f t="shared" si="3"/>
        <v>vis</v>
      </c>
      <c r="E40">
        <f>VLOOKUP(C40,Active!C$21:E$966,3,FALSE)</f>
        <v>3043.4960184828715</v>
      </c>
      <c r="F40" s="7" t="s">
        <v>49</v>
      </c>
      <c r="G40" t="str">
        <f t="shared" si="4"/>
        <v>53256.5919</v>
      </c>
      <c r="H40" s="20">
        <f t="shared" si="5"/>
        <v>47000.5</v>
      </c>
      <c r="I40" s="29" t="s">
        <v>174</v>
      </c>
      <c r="J40" s="30" t="s">
        <v>175</v>
      </c>
      <c r="K40" s="29" t="s">
        <v>176</v>
      </c>
      <c r="L40" s="29" t="s">
        <v>177</v>
      </c>
      <c r="M40" s="30" t="s">
        <v>60</v>
      </c>
      <c r="N40" s="30" t="s">
        <v>61</v>
      </c>
      <c r="O40" s="31" t="s">
        <v>62</v>
      </c>
      <c r="P40" s="32" t="s">
        <v>145</v>
      </c>
    </row>
    <row r="41" spans="1:16" ht="12.75" customHeight="1" x14ac:dyDescent="0.2">
      <c r="A41" s="20" t="str">
        <f t="shared" si="0"/>
        <v>BAVM 173 </v>
      </c>
      <c r="B41" s="7" t="str">
        <f t="shared" si="1"/>
        <v>I</v>
      </c>
      <c r="C41" s="20">
        <f t="shared" si="2"/>
        <v>53257.498599999999</v>
      </c>
      <c r="D41" t="str">
        <f t="shared" si="3"/>
        <v>vis</v>
      </c>
      <c r="E41">
        <f>VLOOKUP(C41,Active!C$21:E$966,3,FALSE)</f>
        <v>3044.9932032173397</v>
      </c>
      <c r="F41" s="7" t="s">
        <v>49</v>
      </c>
      <c r="G41" t="str">
        <f t="shared" si="4"/>
        <v>53257.4986</v>
      </c>
      <c r="H41" s="20">
        <f t="shared" si="5"/>
        <v>47002</v>
      </c>
      <c r="I41" s="29" t="s">
        <v>178</v>
      </c>
      <c r="J41" s="30" t="s">
        <v>179</v>
      </c>
      <c r="K41" s="29" t="s">
        <v>180</v>
      </c>
      <c r="L41" s="29" t="s">
        <v>181</v>
      </c>
      <c r="M41" s="30" t="s">
        <v>60</v>
      </c>
      <c r="N41" s="30" t="s">
        <v>61</v>
      </c>
      <c r="O41" s="31" t="s">
        <v>62</v>
      </c>
      <c r="P41" s="32" t="s">
        <v>145</v>
      </c>
    </row>
    <row r="42" spans="1:16" ht="12.75" customHeight="1" x14ac:dyDescent="0.2">
      <c r="A42" s="20" t="str">
        <f t="shared" si="0"/>
        <v>BAVM 173 </v>
      </c>
      <c r="B42" s="7" t="str">
        <f t="shared" si="1"/>
        <v>I</v>
      </c>
      <c r="C42" s="20">
        <f t="shared" si="2"/>
        <v>53265.370799999997</v>
      </c>
      <c r="D42" t="str">
        <f t="shared" si="3"/>
        <v>vis</v>
      </c>
      <c r="E42">
        <f>VLOOKUP(C42,Active!C$21:E$966,3,FALSE)</f>
        <v>3057.9921418593212</v>
      </c>
      <c r="F42" s="7" t="s">
        <v>49</v>
      </c>
      <c r="G42" t="str">
        <f t="shared" si="4"/>
        <v>53265.3708</v>
      </c>
      <c r="H42" s="20">
        <f t="shared" si="5"/>
        <v>47015</v>
      </c>
      <c r="I42" s="29" t="s">
        <v>182</v>
      </c>
      <c r="J42" s="30" t="s">
        <v>183</v>
      </c>
      <c r="K42" s="29" t="s">
        <v>184</v>
      </c>
      <c r="L42" s="29" t="s">
        <v>157</v>
      </c>
      <c r="M42" s="30" t="s">
        <v>60</v>
      </c>
      <c r="N42" s="30" t="s">
        <v>61</v>
      </c>
      <c r="O42" s="31" t="s">
        <v>185</v>
      </c>
      <c r="P42" s="32" t="s">
        <v>145</v>
      </c>
    </row>
    <row r="43" spans="1:16" ht="12.75" customHeight="1" x14ac:dyDescent="0.2">
      <c r="A43" s="20" t="str">
        <f t="shared" ref="A43:A65" si="6">P43</f>
        <v>BAVM 173 </v>
      </c>
      <c r="B43" s="7" t="str">
        <f t="shared" ref="B43:B65" si="7">IF(H43=INT(H43),"I","II")</f>
        <v>I</v>
      </c>
      <c r="C43" s="20">
        <f t="shared" ref="C43:C65" si="8">1*G43</f>
        <v>53282.325199999999</v>
      </c>
      <c r="D43" t="str">
        <f t="shared" ref="D43:D65" si="9">VLOOKUP(F43,I$1:J$5,2,FALSE)</f>
        <v>vis</v>
      </c>
      <c r="E43">
        <f>VLOOKUP(C43,Active!C$21:E$966,3,FALSE)</f>
        <v>3085.9880267849712</v>
      </c>
      <c r="F43" s="7" t="s">
        <v>49</v>
      </c>
      <c r="G43" t="str">
        <f t="shared" ref="G43:G65" si="10">MID(I43,3,LEN(I43)-3)</f>
        <v>53282.3252</v>
      </c>
      <c r="H43" s="20">
        <f t="shared" ref="H43:H65" si="11">1*K43</f>
        <v>47043</v>
      </c>
      <c r="I43" s="29" t="s">
        <v>186</v>
      </c>
      <c r="J43" s="30" t="s">
        <v>187</v>
      </c>
      <c r="K43" s="29" t="s">
        <v>188</v>
      </c>
      <c r="L43" s="29" t="s">
        <v>189</v>
      </c>
      <c r="M43" s="30" t="s">
        <v>60</v>
      </c>
      <c r="N43" s="30" t="s">
        <v>123</v>
      </c>
      <c r="O43" s="31" t="s">
        <v>62</v>
      </c>
      <c r="P43" s="32" t="s">
        <v>145</v>
      </c>
    </row>
    <row r="44" spans="1:16" ht="12.75" customHeight="1" x14ac:dyDescent="0.2">
      <c r="A44" s="20" t="str">
        <f t="shared" si="6"/>
        <v>BAVM 173 </v>
      </c>
      <c r="B44" s="7" t="str">
        <f t="shared" si="7"/>
        <v>II</v>
      </c>
      <c r="C44" s="20">
        <f t="shared" si="8"/>
        <v>53284.452599999997</v>
      </c>
      <c r="D44" t="str">
        <f t="shared" si="9"/>
        <v>vis</v>
      </c>
      <c r="E44">
        <f>VLOOKUP(C44,Active!C$21:E$966,3,FALSE)</f>
        <v>3089.50088749315</v>
      </c>
      <c r="F44" s="7" t="s">
        <v>49</v>
      </c>
      <c r="G44" t="str">
        <f t="shared" si="10"/>
        <v>53284.4526</v>
      </c>
      <c r="H44" s="20">
        <f t="shared" si="11"/>
        <v>47046.5</v>
      </c>
      <c r="I44" s="29" t="s">
        <v>190</v>
      </c>
      <c r="J44" s="30" t="s">
        <v>191</v>
      </c>
      <c r="K44" s="29" t="s">
        <v>192</v>
      </c>
      <c r="L44" s="29" t="s">
        <v>193</v>
      </c>
      <c r="M44" s="30" t="s">
        <v>60</v>
      </c>
      <c r="N44" s="30" t="s">
        <v>123</v>
      </c>
      <c r="O44" s="31" t="s">
        <v>62</v>
      </c>
      <c r="P44" s="32" t="s">
        <v>145</v>
      </c>
    </row>
    <row r="45" spans="1:16" ht="12.75" customHeight="1" x14ac:dyDescent="0.2">
      <c r="A45" s="20" t="str">
        <f t="shared" si="6"/>
        <v>BAVM 178 </v>
      </c>
      <c r="B45" s="7" t="str">
        <f t="shared" si="7"/>
        <v>I</v>
      </c>
      <c r="C45" s="20">
        <f t="shared" si="8"/>
        <v>53601.476699999999</v>
      </c>
      <c r="D45" t="str">
        <f t="shared" si="9"/>
        <v>vis</v>
      </c>
      <c r="E45">
        <f>VLOOKUP(C45,Active!C$21:E$966,3,FALSE)</f>
        <v>3612.9856597208018</v>
      </c>
      <c r="F45" s="7" t="s">
        <v>49</v>
      </c>
      <c r="G45" t="str">
        <f t="shared" si="10"/>
        <v>53601.4767</v>
      </c>
      <c r="H45" s="20">
        <f t="shared" si="11"/>
        <v>47570</v>
      </c>
      <c r="I45" s="29" t="s">
        <v>194</v>
      </c>
      <c r="J45" s="30" t="s">
        <v>195</v>
      </c>
      <c r="K45" s="29" t="s">
        <v>196</v>
      </c>
      <c r="L45" s="29" t="s">
        <v>197</v>
      </c>
      <c r="M45" s="30" t="s">
        <v>137</v>
      </c>
      <c r="N45" s="30" t="s">
        <v>123</v>
      </c>
      <c r="O45" s="31" t="s">
        <v>198</v>
      </c>
      <c r="P45" s="32" t="s">
        <v>199</v>
      </c>
    </row>
    <row r="46" spans="1:16" ht="12.75" customHeight="1" x14ac:dyDescent="0.2">
      <c r="A46" s="20" t="str">
        <f t="shared" si="6"/>
        <v>BAVM 178 </v>
      </c>
      <c r="B46" s="7" t="str">
        <f t="shared" si="7"/>
        <v>I</v>
      </c>
      <c r="C46" s="20">
        <f t="shared" si="8"/>
        <v>53613.5916</v>
      </c>
      <c r="D46" t="str">
        <f t="shared" si="9"/>
        <v>vis</v>
      </c>
      <c r="E46">
        <f>VLOOKUP(C46,Active!C$21:E$966,3,FALSE)</f>
        <v>3632.9903397027369</v>
      </c>
      <c r="F46" s="7" t="s">
        <v>49</v>
      </c>
      <c r="G46" t="str">
        <f t="shared" si="10"/>
        <v>53613.5916</v>
      </c>
      <c r="H46" s="20">
        <f t="shared" si="11"/>
        <v>47590</v>
      </c>
      <c r="I46" s="29" t="s">
        <v>200</v>
      </c>
      <c r="J46" s="30" t="s">
        <v>201</v>
      </c>
      <c r="K46" s="29" t="s">
        <v>202</v>
      </c>
      <c r="L46" s="29" t="s">
        <v>203</v>
      </c>
      <c r="M46" s="30" t="s">
        <v>137</v>
      </c>
      <c r="N46" s="30" t="s">
        <v>123</v>
      </c>
      <c r="O46" s="31" t="s">
        <v>198</v>
      </c>
      <c r="P46" s="32" t="s">
        <v>199</v>
      </c>
    </row>
    <row r="47" spans="1:16" ht="12.75" customHeight="1" x14ac:dyDescent="0.2">
      <c r="A47" s="20" t="str">
        <f t="shared" si="6"/>
        <v>BAVM 178 </v>
      </c>
      <c r="B47" s="7" t="str">
        <f t="shared" si="7"/>
        <v>II</v>
      </c>
      <c r="C47" s="20">
        <f t="shared" si="8"/>
        <v>53651.445800000001</v>
      </c>
      <c r="D47" t="str">
        <f t="shared" si="9"/>
        <v>vis</v>
      </c>
      <c r="E47">
        <f>VLOOKUP(C47,Active!C$21:E$966,3,FALSE)</f>
        <v>3695.4969354626828</v>
      </c>
      <c r="F47" s="7" t="s">
        <v>49</v>
      </c>
      <c r="G47" t="str">
        <f t="shared" si="10"/>
        <v>53651.4458</v>
      </c>
      <c r="H47" s="20">
        <f t="shared" si="11"/>
        <v>47652.5</v>
      </c>
      <c r="I47" s="29" t="s">
        <v>204</v>
      </c>
      <c r="J47" s="30" t="s">
        <v>205</v>
      </c>
      <c r="K47" s="29" t="s">
        <v>206</v>
      </c>
      <c r="L47" s="29" t="s">
        <v>207</v>
      </c>
      <c r="M47" s="30" t="s">
        <v>137</v>
      </c>
      <c r="N47" s="30" t="s">
        <v>123</v>
      </c>
      <c r="O47" s="31" t="s">
        <v>198</v>
      </c>
      <c r="P47" s="32" t="s">
        <v>199</v>
      </c>
    </row>
    <row r="48" spans="1:16" ht="12.75" customHeight="1" x14ac:dyDescent="0.2">
      <c r="A48" s="20" t="str">
        <f t="shared" si="6"/>
        <v>BAVM 178 </v>
      </c>
      <c r="B48" s="7" t="str">
        <f t="shared" si="7"/>
        <v>II</v>
      </c>
      <c r="C48" s="20">
        <f t="shared" si="8"/>
        <v>53659.3272</v>
      </c>
      <c r="D48" t="str">
        <f t="shared" si="9"/>
        <v>vis</v>
      </c>
      <c r="E48">
        <f>VLOOKUP(C48,Active!C$21:E$966,3,FALSE)</f>
        <v>3708.5110655677254</v>
      </c>
      <c r="F48" s="7" t="s">
        <v>49</v>
      </c>
      <c r="G48" t="str">
        <f t="shared" si="10"/>
        <v>53659.3272</v>
      </c>
      <c r="H48" s="20">
        <f t="shared" si="11"/>
        <v>47665.5</v>
      </c>
      <c r="I48" s="29" t="s">
        <v>208</v>
      </c>
      <c r="J48" s="30" t="s">
        <v>209</v>
      </c>
      <c r="K48" s="29" t="s">
        <v>210</v>
      </c>
      <c r="L48" s="29" t="s">
        <v>211</v>
      </c>
      <c r="M48" s="30" t="s">
        <v>137</v>
      </c>
      <c r="N48" s="30" t="s">
        <v>123</v>
      </c>
      <c r="O48" s="31" t="s">
        <v>212</v>
      </c>
      <c r="P48" s="32" t="s">
        <v>199</v>
      </c>
    </row>
    <row r="49" spans="1:16" ht="12.75" customHeight="1" x14ac:dyDescent="0.2">
      <c r="A49" s="20" t="str">
        <f t="shared" si="6"/>
        <v>OEJV 0137 </v>
      </c>
      <c r="B49" s="7" t="str">
        <f t="shared" si="7"/>
        <v>I</v>
      </c>
      <c r="C49" s="20">
        <f t="shared" si="8"/>
        <v>55097.3079</v>
      </c>
      <c r="D49" t="str">
        <f t="shared" si="9"/>
        <v>vis</v>
      </c>
      <c r="E49">
        <f>VLOOKUP(C49,Active!C$21:E$966,3,FALSE)</f>
        <v>6082.9709227434214</v>
      </c>
      <c r="F49" s="7" t="s">
        <v>49</v>
      </c>
      <c r="G49" t="str">
        <f t="shared" si="10"/>
        <v>55097.3079</v>
      </c>
      <c r="H49" s="20">
        <f t="shared" si="11"/>
        <v>50040</v>
      </c>
      <c r="I49" s="29" t="s">
        <v>213</v>
      </c>
      <c r="J49" s="30" t="s">
        <v>214</v>
      </c>
      <c r="K49" s="29" t="s">
        <v>215</v>
      </c>
      <c r="L49" s="29" t="s">
        <v>216</v>
      </c>
      <c r="M49" s="30" t="s">
        <v>137</v>
      </c>
      <c r="N49" s="30" t="s">
        <v>217</v>
      </c>
      <c r="O49" s="31" t="s">
        <v>218</v>
      </c>
      <c r="P49" s="32" t="s">
        <v>219</v>
      </c>
    </row>
    <row r="50" spans="1:16" ht="12.75" customHeight="1" x14ac:dyDescent="0.2">
      <c r="A50" s="20" t="str">
        <f t="shared" si="6"/>
        <v>IBVS 5960 </v>
      </c>
      <c r="B50" s="7" t="str">
        <f t="shared" si="7"/>
        <v>I</v>
      </c>
      <c r="C50" s="20">
        <f t="shared" si="8"/>
        <v>55383.755700000002</v>
      </c>
      <c r="D50" t="str">
        <f t="shared" si="9"/>
        <v>vis</v>
      </c>
      <c r="E50">
        <f>VLOOKUP(C50,Active!C$21:E$966,3,FALSE)</f>
        <v>6555.9667023643133</v>
      </c>
      <c r="F50" s="7" t="s">
        <v>49</v>
      </c>
      <c r="G50" t="str">
        <f t="shared" si="10"/>
        <v>55383.7557</v>
      </c>
      <c r="H50" s="20">
        <f t="shared" si="11"/>
        <v>50513</v>
      </c>
      <c r="I50" s="29" t="s">
        <v>220</v>
      </c>
      <c r="J50" s="30" t="s">
        <v>221</v>
      </c>
      <c r="K50" s="29" t="s">
        <v>222</v>
      </c>
      <c r="L50" s="29" t="s">
        <v>223</v>
      </c>
      <c r="M50" s="30" t="s">
        <v>137</v>
      </c>
      <c r="N50" s="30" t="s">
        <v>49</v>
      </c>
      <c r="O50" s="31" t="s">
        <v>224</v>
      </c>
      <c r="P50" s="32" t="s">
        <v>225</v>
      </c>
    </row>
    <row r="51" spans="1:16" ht="12.75" customHeight="1" x14ac:dyDescent="0.2">
      <c r="A51" s="20" t="str">
        <f t="shared" si="6"/>
        <v>BAVM 231 </v>
      </c>
      <c r="B51" s="7" t="str">
        <f t="shared" si="7"/>
        <v>II</v>
      </c>
      <c r="C51" s="20">
        <f t="shared" si="8"/>
        <v>55807.370300000002</v>
      </c>
      <c r="D51" t="str">
        <f t="shared" si="9"/>
        <v>vis</v>
      </c>
      <c r="E51">
        <f>VLOOKUP(C51,Active!C$21:E$966,3,FALSE)</f>
        <v>7255.4586097407764</v>
      </c>
      <c r="F51" s="7" t="s">
        <v>49</v>
      </c>
      <c r="G51" t="str">
        <f t="shared" si="10"/>
        <v>55807.3703</v>
      </c>
      <c r="H51" s="20">
        <f t="shared" si="11"/>
        <v>51212.5</v>
      </c>
      <c r="I51" s="29" t="s">
        <v>226</v>
      </c>
      <c r="J51" s="30" t="s">
        <v>227</v>
      </c>
      <c r="K51" s="29" t="s">
        <v>228</v>
      </c>
      <c r="L51" s="29" t="s">
        <v>229</v>
      </c>
      <c r="M51" s="30" t="s">
        <v>137</v>
      </c>
      <c r="N51" s="30">
        <v>0</v>
      </c>
      <c r="O51" s="31" t="s">
        <v>230</v>
      </c>
      <c r="P51" s="32" t="s">
        <v>231</v>
      </c>
    </row>
    <row r="52" spans="1:16" ht="12.75" customHeight="1" x14ac:dyDescent="0.2">
      <c r="A52" s="20" t="str">
        <f t="shared" si="6"/>
        <v>OEJV 0160 </v>
      </c>
      <c r="B52" s="7" t="str">
        <f t="shared" si="7"/>
        <v>I</v>
      </c>
      <c r="C52" s="20">
        <f t="shared" si="8"/>
        <v>55811.305569999997</v>
      </c>
      <c r="D52" t="str">
        <f t="shared" si="9"/>
        <v>vis</v>
      </c>
      <c r="E52">
        <f>VLOOKUP(C52,Active!C$21:E$966,3,FALSE)</f>
        <v>7261.9567085275921</v>
      </c>
      <c r="F52" s="7" t="s">
        <v>49</v>
      </c>
      <c r="G52" t="str">
        <f t="shared" si="10"/>
        <v>55811.30557</v>
      </c>
      <c r="H52" s="20">
        <f t="shared" si="11"/>
        <v>51219</v>
      </c>
      <c r="I52" s="29" t="s">
        <v>232</v>
      </c>
      <c r="J52" s="30" t="s">
        <v>233</v>
      </c>
      <c r="K52" s="29">
        <v>51219</v>
      </c>
      <c r="L52" s="29" t="s">
        <v>234</v>
      </c>
      <c r="M52" s="30" t="s">
        <v>137</v>
      </c>
      <c r="N52" s="30" t="s">
        <v>41</v>
      </c>
      <c r="O52" s="31" t="s">
        <v>218</v>
      </c>
      <c r="P52" s="32" t="s">
        <v>235</v>
      </c>
    </row>
    <row r="53" spans="1:16" ht="12.75" customHeight="1" x14ac:dyDescent="0.2">
      <c r="A53" s="20" t="str">
        <f t="shared" si="6"/>
        <v>IBVS 6011 </v>
      </c>
      <c r="B53" s="7" t="str">
        <f t="shared" si="7"/>
        <v>I</v>
      </c>
      <c r="C53" s="20">
        <f t="shared" si="8"/>
        <v>55850.6679</v>
      </c>
      <c r="D53" t="str">
        <f t="shared" si="9"/>
        <v>vis</v>
      </c>
      <c r="E53">
        <f>VLOOKUP(C53,Active!C$21:E$966,3,FALSE)</f>
        <v>7326.9535978946824</v>
      </c>
      <c r="F53" s="7" t="s">
        <v>49</v>
      </c>
      <c r="G53" t="str">
        <f t="shared" si="10"/>
        <v>55850.6679</v>
      </c>
      <c r="H53" s="20">
        <f t="shared" si="11"/>
        <v>51284</v>
      </c>
      <c r="I53" s="29" t="s">
        <v>236</v>
      </c>
      <c r="J53" s="30" t="s">
        <v>237</v>
      </c>
      <c r="K53" s="29">
        <v>51284</v>
      </c>
      <c r="L53" s="29" t="s">
        <v>66</v>
      </c>
      <c r="M53" s="30" t="s">
        <v>137</v>
      </c>
      <c r="N53" s="30" t="s">
        <v>49</v>
      </c>
      <c r="O53" s="31" t="s">
        <v>224</v>
      </c>
      <c r="P53" s="32" t="s">
        <v>238</v>
      </c>
    </row>
    <row r="54" spans="1:16" ht="12.75" customHeight="1" x14ac:dyDescent="0.2">
      <c r="A54" s="20" t="str">
        <f t="shared" si="6"/>
        <v>OEJV 0160 </v>
      </c>
      <c r="B54" s="7" t="str">
        <f t="shared" si="7"/>
        <v>II</v>
      </c>
      <c r="C54" s="20">
        <f t="shared" si="8"/>
        <v>56220.386279999999</v>
      </c>
      <c r="D54" t="str">
        <f t="shared" si="9"/>
        <v>vis</v>
      </c>
      <c r="E54">
        <f>VLOOKUP(C54,Active!C$21:E$966,3,FALSE)</f>
        <v>7937.4495883972158</v>
      </c>
      <c r="F54" s="7" t="s">
        <v>49</v>
      </c>
      <c r="G54" t="str">
        <f t="shared" si="10"/>
        <v>56220.38628</v>
      </c>
      <c r="H54" s="20">
        <f t="shared" si="11"/>
        <v>51894.5</v>
      </c>
      <c r="I54" s="29" t="s">
        <v>239</v>
      </c>
      <c r="J54" s="30" t="s">
        <v>240</v>
      </c>
      <c r="K54" s="29">
        <v>51894.5</v>
      </c>
      <c r="L54" s="29" t="s">
        <v>241</v>
      </c>
      <c r="M54" s="30" t="s">
        <v>137</v>
      </c>
      <c r="N54" s="30" t="s">
        <v>49</v>
      </c>
      <c r="O54" s="31" t="s">
        <v>218</v>
      </c>
      <c r="P54" s="32" t="s">
        <v>235</v>
      </c>
    </row>
    <row r="55" spans="1:16" ht="12.75" customHeight="1" x14ac:dyDescent="0.2">
      <c r="A55" s="20" t="str">
        <f t="shared" si="6"/>
        <v>OEJV 0160 </v>
      </c>
      <c r="B55" s="7" t="str">
        <f t="shared" si="7"/>
        <v>II</v>
      </c>
      <c r="C55" s="20">
        <f t="shared" si="8"/>
        <v>56220.386910000001</v>
      </c>
      <c r="D55" t="str">
        <f t="shared" si="9"/>
        <v>vis</v>
      </c>
      <c r="E55">
        <f>VLOOKUP(C55,Active!C$21:E$966,3,FALSE)</f>
        <v>7937.4506286821897</v>
      </c>
      <c r="F55" s="7" t="s">
        <v>49</v>
      </c>
      <c r="G55" t="str">
        <f t="shared" si="10"/>
        <v>56220.38691</v>
      </c>
      <c r="H55" s="20">
        <f t="shared" si="11"/>
        <v>51894.5</v>
      </c>
      <c r="I55" s="29" t="s">
        <v>242</v>
      </c>
      <c r="J55" s="30" t="s">
        <v>243</v>
      </c>
      <c r="K55" s="29">
        <v>51894.5</v>
      </c>
      <c r="L55" s="29" t="s">
        <v>244</v>
      </c>
      <c r="M55" s="30" t="s">
        <v>137</v>
      </c>
      <c r="N55" s="30" t="s">
        <v>217</v>
      </c>
      <c r="O55" s="31" t="s">
        <v>218</v>
      </c>
      <c r="P55" s="32" t="s">
        <v>235</v>
      </c>
    </row>
    <row r="56" spans="1:16" ht="12.75" customHeight="1" x14ac:dyDescent="0.2">
      <c r="A56" s="20" t="str">
        <f t="shared" si="6"/>
        <v>IBVS 6042 </v>
      </c>
      <c r="B56" s="7" t="str">
        <f t="shared" si="7"/>
        <v>I</v>
      </c>
      <c r="C56" s="20">
        <f t="shared" si="8"/>
        <v>56220.6898</v>
      </c>
      <c r="D56" t="str">
        <f t="shared" si="9"/>
        <v>vis</v>
      </c>
      <c r="E56">
        <f>VLOOKUP(C56,Active!C$21:E$966,3,FALSE)</f>
        <v>7937.9507745785413</v>
      </c>
      <c r="F56" s="7" t="s">
        <v>49</v>
      </c>
      <c r="G56" t="str">
        <f t="shared" si="10"/>
        <v>56220.6898</v>
      </c>
      <c r="H56" s="20">
        <f t="shared" si="11"/>
        <v>51895</v>
      </c>
      <c r="I56" s="29" t="s">
        <v>245</v>
      </c>
      <c r="J56" s="30" t="s">
        <v>246</v>
      </c>
      <c r="K56" s="29">
        <v>51895</v>
      </c>
      <c r="L56" s="29" t="s">
        <v>247</v>
      </c>
      <c r="M56" s="30" t="s">
        <v>137</v>
      </c>
      <c r="N56" s="30" t="s">
        <v>49</v>
      </c>
      <c r="O56" s="31" t="s">
        <v>224</v>
      </c>
      <c r="P56" s="32" t="s">
        <v>248</v>
      </c>
    </row>
    <row r="57" spans="1:16" ht="12.75" customHeight="1" x14ac:dyDescent="0.2">
      <c r="A57" s="20" t="str">
        <f t="shared" si="6"/>
        <v>BAVM 193 </v>
      </c>
      <c r="B57" s="7" t="str">
        <f t="shared" si="7"/>
        <v>II</v>
      </c>
      <c r="C57" s="20">
        <f t="shared" si="8"/>
        <v>54388.450799999999</v>
      </c>
      <c r="D57" t="str">
        <f t="shared" si="9"/>
        <v>vis</v>
      </c>
      <c r="E57">
        <f>VLOOKUP(C57,Active!C$21:E$966,3,FALSE)</f>
        <v>4912.4734825316154</v>
      </c>
      <c r="F57" s="7" t="s">
        <v>49</v>
      </c>
      <c r="G57" t="str">
        <f t="shared" si="10"/>
        <v>54388.4508</v>
      </c>
      <c r="H57" s="20">
        <f t="shared" si="11"/>
        <v>48869.5</v>
      </c>
      <c r="I57" s="29" t="s">
        <v>249</v>
      </c>
      <c r="J57" s="30" t="s">
        <v>250</v>
      </c>
      <c r="K57" s="29" t="s">
        <v>251</v>
      </c>
      <c r="L57" s="29" t="s">
        <v>252</v>
      </c>
      <c r="M57" s="30" t="s">
        <v>137</v>
      </c>
      <c r="N57" s="30" t="s">
        <v>49</v>
      </c>
      <c r="O57" s="31" t="s">
        <v>253</v>
      </c>
      <c r="P57" s="32" t="s">
        <v>254</v>
      </c>
    </row>
    <row r="58" spans="1:16" ht="12.75" customHeight="1" x14ac:dyDescent="0.2">
      <c r="A58" s="20" t="str">
        <f t="shared" si="6"/>
        <v>BAVM 193 </v>
      </c>
      <c r="B58" s="7" t="str">
        <f t="shared" si="7"/>
        <v>I</v>
      </c>
      <c r="C58" s="20">
        <f t="shared" si="8"/>
        <v>54440.239800000003</v>
      </c>
      <c r="D58" t="str">
        <f t="shared" si="9"/>
        <v>vis</v>
      </c>
      <c r="E58">
        <f>VLOOKUP(C58,Active!C$21:E$966,3,FALSE)</f>
        <v>4997.9898608413405</v>
      </c>
      <c r="F58" s="7" t="s">
        <v>49</v>
      </c>
      <c r="G58" t="str">
        <f t="shared" si="10"/>
        <v>54440.2398</v>
      </c>
      <c r="H58" s="20">
        <f t="shared" si="11"/>
        <v>48955</v>
      </c>
      <c r="I58" s="29" t="s">
        <v>255</v>
      </c>
      <c r="J58" s="30" t="s">
        <v>256</v>
      </c>
      <c r="K58" s="29" t="s">
        <v>257</v>
      </c>
      <c r="L58" s="29" t="s">
        <v>258</v>
      </c>
      <c r="M58" s="30" t="s">
        <v>137</v>
      </c>
      <c r="N58" s="30" t="s">
        <v>49</v>
      </c>
      <c r="O58" s="31" t="s">
        <v>253</v>
      </c>
      <c r="P58" s="32" t="s">
        <v>254</v>
      </c>
    </row>
    <row r="59" spans="1:16" ht="12.75" customHeight="1" x14ac:dyDescent="0.2">
      <c r="A59" s="20" t="str">
        <f t="shared" si="6"/>
        <v>OEJV 0116 </v>
      </c>
      <c r="B59" s="7" t="str">
        <f t="shared" si="7"/>
        <v>I</v>
      </c>
      <c r="C59" s="20">
        <f t="shared" si="8"/>
        <v>55084.591</v>
      </c>
      <c r="D59" t="str">
        <f t="shared" si="9"/>
        <v>vis</v>
      </c>
      <c r="E59" t="e">
        <f>VLOOKUP(C59,Active!C$21:E$966,3,FALSE)</f>
        <v>#N/A</v>
      </c>
      <c r="F59" s="7" t="s">
        <v>49</v>
      </c>
      <c r="G59" t="str">
        <f t="shared" si="10"/>
        <v>55084.591</v>
      </c>
      <c r="H59" s="20">
        <f t="shared" si="11"/>
        <v>50019</v>
      </c>
      <c r="I59" s="29" t="s">
        <v>259</v>
      </c>
      <c r="J59" s="30" t="s">
        <v>260</v>
      </c>
      <c r="K59" s="29" t="s">
        <v>261</v>
      </c>
      <c r="L59" s="29" t="s">
        <v>262</v>
      </c>
      <c r="M59" s="30" t="s">
        <v>137</v>
      </c>
      <c r="N59" s="30" t="s">
        <v>61</v>
      </c>
      <c r="O59" s="31" t="s">
        <v>80</v>
      </c>
      <c r="P59" s="32" t="s">
        <v>263</v>
      </c>
    </row>
    <row r="60" spans="1:16" ht="12.75" customHeight="1" x14ac:dyDescent="0.2">
      <c r="A60" s="20" t="str">
        <f t="shared" si="6"/>
        <v>OEJV 0137 </v>
      </c>
      <c r="B60" s="7" t="str">
        <f t="shared" si="7"/>
        <v>I</v>
      </c>
      <c r="C60" s="20">
        <f t="shared" si="8"/>
        <v>55390.416700000002</v>
      </c>
      <c r="D60" t="str">
        <f t="shared" si="9"/>
        <v>vis</v>
      </c>
      <c r="E60" t="e">
        <f>VLOOKUP(C60,Active!C$21:E$966,3,FALSE)</f>
        <v>#N/A</v>
      </c>
      <c r="F60" s="7" t="s">
        <v>49</v>
      </c>
      <c r="G60" t="str">
        <f t="shared" si="10"/>
        <v>55390.4167</v>
      </c>
      <c r="H60" s="20">
        <f t="shared" si="11"/>
        <v>50524</v>
      </c>
      <c r="I60" s="29" t="s">
        <v>264</v>
      </c>
      <c r="J60" s="30" t="s">
        <v>265</v>
      </c>
      <c r="K60" s="29" t="s">
        <v>266</v>
      </c>
      <c r="L60" s="29" t="s">
        <v>267</v>
      </c>
      <c r="M60" s="30" t="s">
        <v>137</v>
      </c>
      <c r="N60" s="30" t="s">
        <v>217</v>
      </c>
      <c r="O60" s="31" t="s">
        <v>218</v>
      </c>
      <c r="P60" s="32" t="s">
        <v>219</v>
      </c>
    </row>
    <row r="61" spans="1:16" ht="12.75" customHeight="1" x14ac:dyDescent="0.2">
      <c r="A61" s="20" t="str">
        <f t="shared" si="6"/>
        <v>OEJV 0137 </v>
      </c>
      <c r="B61" s="7" t="str">
        <f t="shared" si="7"/>
        <v>I</v>
      </c>
      <c r="C61" s="20">
        <f t="shared" si="8"/>
        <v>55390.416899999997</v>
      </c>
      <c r="D61" t="str">
        <f t="shared" si="9"/>
        <v>vis</v>
      </c>
      <c r="E61" t="e">
        <f>VLOOKUP(C61,Active!C$21:E$966,3,FALSE)</f>
        <v>#N/A</v>
      </c>
      <c r="F61" s="7" t="s">
        <v>49</v>
      </c>
      <c r="G61" t="str">
        <f t="shared" si="10"/>
        <v>55390.4169</v>
      </c>
      <c r="H61" s="20">
        <f t="shared" si="11"/>
        <v>50524</v>
      </c>
      <c r="I61" s="29" t="s">
        <v>268</v>
      </c>
      <c r="J61" s="30" t="s">
        <v>265</v>
      </c>
      <c r="K61" s="29" t="s">
        <v>266</v>
      </c>
      <c r="L61" s="29" t="s">
        <v>269</v>
      </c>
      <c r="M61" s="30" t="s">
        <v>137</v>
      </c>
      <c r="N61" s="30" t="s">
        <v>270</v>
      </c>
      <c r="O61" s="31" t="s">
        <v>218</v>
      </c>
      <c r="P61" s="32" t="s">
        <v>219</v>
      </c>
    </row>
    <row r="62" spans="1:16" ht="12.75" customHeight="1" x14ac:dyDescent="0.2">
      <c r="A62" s="20" t="str">
        <f t="shared" si="6"/>
        <v>OEJV 0160 </v>
      </c>
      <c r="B62" s="7" t="str">
        <f t="shared" si="7"/>
        <v>I</v>
      </c>
      <c r="C62" s="20">
        <f t="shared" si="8"/>
        <v>56221.295539999999</v>
      </c>
      <c r="D62" t="str">
        <f t="shared" si="9"/>
        <v>vis</v>
      </c>
      <c r="E62" t="e">
        <f>VLOOKUP(C62,Active!C$21:E$966,3,FALSE)</f>
        <v>#N/A</v>
      </c>
      <c r="F62" s="7" t="s">
        <v>49</v>
      </c>
      <c r="G62" t="str">
        <f t="shared" si="10"/>
        <v>56221.29554</v>
      </c>
      <c r="H62" s="20">
        <f t="shared" si="11"/>
        <v>51896</v>
      </c>
      <c r="I62" s="29" t="s">
        <v>271</v>
      </c>
      <c r="J62" s="30" t="s">
        <v>272</v>
      </c>
      <c r="K62" s="29">
        <v>51896</v>
      </c>
      <c r="L62" s="29" t="s">
        <v>273</v>
      </c>
      <c r="M62" s="30" t="s">
        <v>137</v>
      </c>
      <c r="N62" s="30" t="s">
        <v>217</v>
      </c>
      <c r="O62" s="31" t="s">
        <v>218</v>
      </c>
      <c r="P62" s="32" t="s">
        <v>235</v>
      </c>
    </row>
    <row r="63" spans="1:16" ht="12.75" customHeight="1" x14ac:dyDescent="0.2">
      <c r="A63" s="20" t="str">
        <f t="shared" si="6"/>
        <v>OEJV 0160 </v>
      </c>
      <c r="B63" s="7" t="str">
        <f t="shared" si="7"/>
        <v>I</v>
      </c>
      <c r="C63" s="20">
        <f t="shared" si="8"/>
        <v>56221.296840000003</v>
      </c>
      <c r="D63" t="str">
        <f t="shared" si="9"/>
        <v>vis</v>
      </c>
      <c r="E63" t="e">
        <f>VLOOKUP(C63,Active!C$21:E$966,3,FALSE)</f>
        <v>#N/A</v>
      </c>
      <c r="F63" s="7" t="s">
        <v>49</v>
      </c>
      <c r="G63" t="str">
        <f t="shared" si="10"/>
        <v>56221.29684</v>
      </c>
      <c r="H63" s="20">
        <f t="shared" si="11"/>
        <v>51896</v>
      </c>
      <c r="I63" s="29" t="s">
        <v>274</v>
      </c>
      <c r="J63" s="30" t="s">
        <v>275</v>
      </c>
      <c r="K63" s="29">
        <v>51896</v>
      </c>
      <c r="L63" s="29" t="s">
        <v>276</v>
      </c>
      <c r="M63" s="30" t="s">
        <v>137</v>
      </c>
      <c r="N63" s="30" t="s">
        <v>270</v>
      </c>
      <c r="O63" s="31" t="s">
        <v>218</v>
      </c>
      <c r="P63" s="32" t="s">
        <v>235</v>
      </c>
    </row>
    <row r="64" spans="1:16" ht="12.75" customHeight="1" x14ac:dyDescent="0.2">
      <c r="A64" s="20" t="str">
        <f t="shared" si="6"/>
        <v>OEJV 0160 </v>
      </c>
      <c r="B64" s="7" t="str">
        <f t="shared" si="7"/>
        <v>I</v>
      </c>
      <c r="C64" s="20">
        <f t="shared" si="8"/>
        <v>56511.378519999998</v>
      </c>
      <c r="D64" t="str">
        <f t="shared" si="9"/>
        <v>vis</v>
      </c>
      <c r="E64" t="e">
        <f>VLOOKUP(C64,Active!C$21:E$966,3,FALSE)</f>
        <v>#N/A</v>
      </c>
      <c r="F64" s="7" t="s">
        <v>49</v>
      </c>
      <c r="G64" t="str">
        <f t="shared" si="10"/>
        <v>56511.37852</v>
      </c>
      <c r="H64" s="20">
        <f t="shared" si="11"/>
        <v>52375</v>
      </c>
      <c r="I64" s="29" t="s">
        <v>277</v>
      </c>
      <c r="J64" s="30" t="s">
        <v>278</v>
      </c>
      <c r="K64" s="29">
        <v>52375</v>
      </c>
      <c r="L64" s="29" t="s">
        <v>279</v>
      </c>
      <c r="M64" s="30" t="s">
        <v>137</v>
      </c>
      <c r="N64" s="30" t="s">
        <v>217</v>
      </c>
      <c r="O64" s="31" t="s">
        <v>218</v>
      </c>
      <c r="P64" s="32" t="s">
        <v>235</v>
      </c>
    </row>
    <row r="65" spans="1:16" ht="12.75" customHeight="1" x14ac:dyDescent="0.2">
      <c r="A65" s="20" t="str">
        <f t="shared" si="6"/>
        <v>OEJV 0160 </v>
      </c>
      <c r="B65" s="7" t="str">
        <f t="shared" si="7"/>
        <v>I</v>
      </c>
      <c r="C65" s="20">
        <f t="shared" si="8"/>
        <v>56511.37917</v>
      </c>
      <c r="D65" t="str">
        <f t="shared" si="9"/>
        <v>vis</v>
      </c>
      <c r="E65" t="e">
        <f>VLOOKUP(C65,Active!C$21:E$966,3,FALSE)</f>
        <v>#N/A</v>
      </c>
      <c r="F65" s="7" t="s">
        <v>49</v>
      </c>
      <c r="G65" t="str">
        <f t="shared" si="10"/>
        <v>56511.37917</v>
      </c>
      <c r="H65" s="20">
        <f t="shared" si="11"/>
        <v>52375</v>
      </c>
      <c r="I65" s="29" t="s">
        <v>280</v>
      </c>
      <c r="J65" s="30" t="s">
        <v>281</v>
      </c>
      <c r="K65" s="29">
        <v>52375</v>
      </c>
      <c r="L65" s="29" t="s">
        <v>282</v>
      </c>
      <c r="M65" s="30" t="s">
        <v>137</v>
      </c>
      <c r="N65" s="30" t="s">
        <v>49</v>
      </c>
      <c r="O65" s="31" t="s">
        <v>218</v>
      </c>
      <c r="P65" s="32" t="s">
        <v>235</v>
      </c>
    </row>
  </sheetData>
  <sheetProtection selectLockedCells="1" selectUnlockedCells="1"/>
  <hyperlinks>
    <hyperlink ref="P12" r:id="rId1"/>
    <hyperlink ref="P13" r:id="rId2"/>
    <hyperlink ref="P14" r:id="rId3"/>
    <hyperlink ref="P15" r:id="rId4"/>
    <hyperlink ref="P16" r:id="rId5"/>
    <hyperlink ref="P18" r:id="rId6"/>
    <hyperlink ref="P19" r:id="rId7"/>
    <hyperlink ref="P20" r:id="rId8"/>
    <hyperlink ref="P21" r:id="rId9"/>
    <hyperlink ref="P22" r:id="rId10"/>
    <hyperlink ref="P23" r:id="rId11"/>
    <hyperlink ref="P24" r:id="rId12"/>
    <hyperlink ref="P25" r:id="rId13"/>
    <hyperlink ref="P26" r:id="rId14"/>
    <hyperlink ref="P27" r:id="rId15"/>
    <hyperlink ref="P28" r:id="rId16"/>
    <hyperlink ref="P29" r:id="rId17"/>
    <hyperlink ref="P30" r:id="rId18"/>
    <hyperlink ref="P32" r:id="rId19"/>
    <hyperlink ref="P33" r:id="rId20"/>
    <hyperlink ref="P34" r:id="rId21"/>
    <hyperlink ref="P35" r:id="rId22"/>
    <hyperlink ref="P36" r:id="rId23"/>
    <hyperlink ref="P37" r:id="rId24"/>
    <hyperlink ref="P38" r:id="rId25"/>
    <hyperlink ref="P39" r:id="rId26"/>
    <hyperlink ref="P40" r:id="rId27"/>
    <hyperlink ref="P41" r:id="rId28"/>
    <hyperlink ref="P42" r:id="rId29"/>
    <hyperlink ref="P43" r:id="rId30"/>
    <hyperlink ref="P44" r:id="rId31"/>
    <hyperlink ref="P45" r:id="rId32"/>
    <hyperlink ref="P46" r:id="rId33"/>
    <hyperlink ref="P47" r:id="rId34"/>
    <hyperlink ref="P48" r:id="rId35"/>
    <hyperlink ref="P49" r:id="rId36"/>
    <hyperlink ref="P50" r:id="rId37"/>
    <hyperlink ref="P51" r:id="rId38"/>
    <hyperlink ref="P52" r:id="rId39"/>
    <hyperlink ref="P53" r:id="rId40"/>
    <hyperlink ref="P54" r:id="rId41"/>
    <hyperlink ref="P55" r:id="rId42"/>
    <hyperlink ref="P56" r:id="rId43"/>
    <hyperlink ref="P57" r:id="rId44"/>
    <hyperlink ref="P58" r:id="rId45"/>
    <hyperlink ref="P59" r:id="rId46"/>
    <hyperlink ref="P60" r:id="rId47"/>
    <hyperlink ref="P61" r:id="rId48"/>
    <hyperlink ref="P62" r:id="rId49"/>
    <hyperlink ref="P63" r:id="rId50"/>
    <hyperlink ref="P64" r:id="rId51"/>
    <hyperlink ref="P65" r:id="rId5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2024-03-01T07:18:05Z</dcterms:created>
  <dcterms:modified xsi:type="dcterms:W3CDTF">2024-03-01T07:18:05Z</dcterms:modified>
</cp:coreProperties>
</file>