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B8A95CE-2B1E-487A-8B65-EF822AC7C11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0" r:id="rId1"/>
    <sheet name="Graphs 1" sheetId="11" r:id="rId2"/>
  </sheets>
  <calcPr calcId="181029"/>
</workbook>
</file>

<file path=xl/calcChain.xml><?xml version="1.0" encoding="utf-8"?>
<calcChain xmlns="http://schemas.openxmlformats.org/spreadsheetml/2006/main">
  <c r="E31" i="10" l="1"/>
  <c r="F31" i="10" s="1"/>
  <c r="G31" i="10" s="1"/>
  <c r="I31" i="10" s="1"/>
  <c r="Q31" i="10"/>
  <c r="E28" i="10"/>
  <c r="F28" i="10" s="1"/>
  <c r="G28" i="10" s="1"/>
  <c r="H28" i="10" s="1"/>
  <c r="Q28" i="10"/>
  <c r="C28" i="10"/>
  <c r="A28" i="10"/>
  <c r="E14" i="10"/>
  <c r="E15" i="10" s="1"/>
  <c r="E21" i="10"/>
  <c r="F21" i="10" s="1"/>
  <c r="G21" i="10" s="1"/>
  <c r="I21" i="10" s="1"/>
  <c r="E22" i="10"/>
  <c r="F22" i="10" s="1"/>
  <c r="G22" i="10" s="1"/>
  <c r="I22" i="10" s="1"/>
  <c r="E23" i="10"/>
  <c r="F23" i="10" s="1"/>
  <c r="G23" i="10" s="1"/>
  <c r="I23" i="10" s="1"/>
  <c r="E24" i="10"/>
  <c r="F24" i="10" s="1"/>
  <c r="G24" i="10" s="1"/>
  <c r="I24" i="10" s="1"/>
  <c r="E25" i="10"/>
  <c r="F25" i="10" s="1"/>
  <c r="G25" i="10" s="1"/>
  <c r="I25" i="10" s="1"/>
  <c r="E26" i="10"/>
  <c r="F26" i="10" s="1"/>
  <c r="G26" i="10" s="1"/>
  <c r="I26" i="10" s="1"/>
  <c r="E27" i="10"/>
  <c r="F27" i="10" s="1"/>
  <c r="G27" i="10" s="1"/>
  <c r="I27" i="10" s="1"/>
  <c r="E29" i="10"/>
  <c r="F29" i="10" s="1"/>
  <c r="G29" i="10" s="1"/>
  <c r="I29" i="10" s="1"/>
  <c r="E30" i="10"/>
  <c r="F30" i="10" s="1"/>
  <c r="G30" i="10" s="1"/>
  <c r="I30" i="10" s="1"/>
  <c r="F11" i="10"/>
  <c r="Q30" i="10"/>
  <c r="Q29" i="10"/>
  <c r="Q23" i="10"/>
  <c r="E2" i="10"/>
  <c r="G11" i="10"/>
  <c r="C17" i="10"/>
  <c r="Q21" i="10"/>
  <c r="Q22" i="10"/>
  <c r="Q24" i="10"/>
  <c r="Q25" i="10"/>
  <c r="Q26" i="10"/>
  <c r="Q27" i="10"/>
  <c r="C11" i="10"/>
  <c r="C12" i="10"/>
  <c r="O28" i="10" l="1"/>
  <c r="O31" i="10"/>
  <c r="C16" i="10"/>
  <c r="D18" i="10" s="1"/>
  <c r="O25" i="10"/>
  <c r="T25" i="10" s="1"/>
  <c r="O24" i="10"/>
  <c r="T24" i="10" s="1"/>
  <c r="O30" i="10"/>
  <c r="C15" i="10"/>
  <c r="O26" i="10"/>
  <c r="T26" i="10" s="1"/>
  <c r="O29" i="10"/>
  <c r="O21" i="10"/>
  <c r="T21" i="10" s="1"/>
  <c r="O27" i="10"/>
  <c r="O23" i="10"/>
  <c r="T23" i="10" s="1"/>
  <c r="O22" i="10"/>
  <c r="T22" i="10" s="1"/>
  <c r="T19" i="10" l="1"/>
  <c r="C18" i="10"/>
  <c r="E16" i="10"/>
  <c r="E17" i="10" s="1"/>
</calcChain>
</file>

<file path=xl/sharedStrings.xml><?xml version="1.0" encoding="utf-8"?>
<sst xmlns="http://schemas.openxmlformats.org/spreadsheetml/2006/main" count="93" uniqueCount="84">
  <si>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</si>
  <si>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</si>
  <si>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</si>
  <si>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</si>
  <si>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</si>
  <si>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</si>
  <si>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</si>
  <si>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</si>
  <si>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</si>
  <si>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</si>
  <si>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</si>
  <si>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</si>
  <si>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</si>
  <si>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</si>
  <si>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</si>
  <si>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</si>
  <si>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</si>
  <si>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</si>
  <si>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</si>
  <si>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</si>
  <si>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</si>
  <si>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</si>
  <si>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</si>
  <si>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</si>
  <si>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</si>
  <si>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</si>
  <si>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</si>
  <si>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</si>
  <si>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</si>
  <si>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</si>
  <si>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</si>
  <si>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</si>
  <si>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</si>
  <si>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</si>
  <si>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</si>
  <si>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</si>
  <si>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</si>
  <si>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</si>
  <si>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</si>
  <si>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</si>
  <si>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</si>
  <si>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</si>
  <si>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2750-1476</t>
  </si>
  <si>
    <t>RHN 2013</t>
  </si>
  <si>
    <t>Peg</t>
  </si>
  <si>
    <t>Nelson</t>
  </si>
  <si>
    <t>I</t>
  </si>
  <si>
    <t>II</t>
  </si>
  <si>
    <t>RHN 2013 C</t>
  </si>
  <si>
    <t>RHN 2013 E2</t>
  </si>
  <si>
    <t>RHN 2013 E1</t>
  </si>
  <si>
    <t>EW?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</si>
  <si>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</si>
  <si>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</si>
  <si>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</si>
  <si>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</si>
  <si>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</si>
  <si>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</si>
  <si>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</si>
  <si>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</si>
  <si>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</si>
  <si>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</si>
  <si>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</si>
  <si>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</si>
  <si>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</si>
  <si>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</si>
  <si>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</si>
  <si>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</si>
  <si>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</si>
  <si>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</si>
  <si>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</si>
  <si>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</si>
  <si>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</si>
  <si>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</si>
  <si>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</si>
  <si>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</si>
  <si>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</si>
  <si>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Buchheim B</t>
  </si>
  <si>
    <t>Buchheim C1</t>
  </si>
  <si>
    <t>Buchheim C2</t>
  </si>
  <si>
    <t>Buchheim E1</t>
  </si>
  <si>
    <t>Buchheim E2</t>
  </si>
  <si>
    <t>??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</si>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</sst>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15" fillId="0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5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2750-1476 -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17-4755-9EE6-8E49AD8A98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9.059999996679835E-3</c:v>
                </c:pt>
                <c:pt idx="1">
                  <c:v>2.2179999999934807E-2</c:v>
                </c:pt>
                <c:pt idx="2">
                  <c:v>1.7820000000938307E-2</c:v>
                </c:pt>
                <c:pt idx="3">
                  <c:v>2.4819999998726416E-2</c:v>
                </c:pt>
                <c:pt idx="4">
                  <c:v>1.9959999997809064E-2</c:v>
                </c:pt>
                <c:pt idx="5">
                  <c:v>-1.7399999996996485E-3</c:v>
                </c:pt>
                <c:pt idx="6">
                  <c:v>-7.2000000000116415E-3</c:v>
                </c:pt>
                <c:pt idx="8">
                  <c:v>7.1999999927356839E-3</c:v>
                </c:pt>
                <c:pt idx="9">
                  <c:v>4.1399999972782098E-3</c:v>
                </c:pt>
                <c:pt idx="10">
                  <c:v>9.8962118645431474E-3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17-4755-9EE6-8E49AD8A98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17-4755-9EE6-8E49AD8A98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17-4755-9EE6-8E49AD8A98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17-4755-9EE6-8E49AD8A98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17-4755-9EE6-8E49AD8A98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17-4755-9EE6-8E49AD8A98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2.0101034396361031E-2</c:v>
                </c:pt>
                <c:pt idx="1">
                  <c:v>1.4414784491746425E-2</c:v>
                </c:pt>
                <c:pt idx="2">
                  <c:v>1.0502967181479642E-2</c:v>
                </c:pt>
                <c:pt idx="3">
                  <c:v>1.0502967181479642E-2</c:v>
                </c:pt>
                <c:pt idx="4">
                  <c:v>1.0422311154463831E-2</c:v>
                </c:pt>
                <c:pt idx="5">
                  <c:v>7.5993502089104822E-3</c:v>
                </c:pt>
                <c:pt idx="6">
                  <c:v>7.5186941818946723E-3</c:v>
                </c:pt>
                <c:pt idx="7">
                  <c:v>7.5186941818946723E-3</c:v>
                </c:pt>
                <c:pt idx="8">
                  <c:v>5.9055736415784725E-3</c:v>
                </c:pt>
                <c:pt idx="9">
                  <c:v>5.8249176145626627E-3</c:v>
                </c:pt>
                <c:pt idx="10">
                  <c:v>5.8249176145626627E-3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17-4755-9EE6-8E49AD8A98E3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17-4755-9EE6-8E49AD8A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388064"/>
        <c:axId val="1"/>
      </c:scatterChart>
      <c:valAx>
        <c:axId val="63038806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38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84962406015037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2750-1476 - O-C Diagram [56532.9607 + 0.299132 E]</a:t>
            </a:r>
          </a:p>
        </c:rich>
      </c:tx>
      <c:layout>
        <c:manualLayout>
          <c:xMode val="edge"/>
          <c:yMode val="edge"/>
          <c:x val="0.18290870312875057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87809431081"/>
          <c:y val="0.12536460995098675"/>
          <c:w val="0.84557783040449774"/>
          <c:h val="0.68804762670774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D-49A5-8C6E-5083CF94FF7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9.059999996679835E-3</c:v>
                </c:pt>
                <c:pt idx="1">
                  <c:v>2.2179999999934807E-2</c:v>
                </c:pt>
                <c:pt idx="2">
                  <c:v>1.7820000000938307E-2</c:v>
                </c:pt>
                <c:pt idx="3">
                  <c:v>2.4819999998726416E-2</c:v>
                </c:pt>
                <c:pt idx="4">
                  <c:v>1.9959999997809064E-2</c:v>
                </c:pt>
                <c:pt idx="5">
                  <c:v>-1.7399999996996485E-3</c:v>
                </c:pt>
                <c:pt idx="6">
                  <c:v>-7.2000000000116415E-3</c:v>
                </c:pt>
                <c:pt idx="8">
                  <c:v>7.1999999927356839E-3</c:v>
                </c:pt>
                <c:pt idx="9">
                  <c:v>4.1399999972782098E-3</c:v>
                </c:pt>
                <c:pt idx="10">
                  <c:v>9.8962118645431474E-3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D-49A5-8C6E-5083CF94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00304"/>
        <c:axId val="1"/>
      </c:scatterChart>
      <c:valAx>
        <c:axId val="63040030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57184399926023"/>
              <c:y val="0.89212950422013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18740629685E-3"/>
              <c:y val="0.35568574336371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0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98353972619989"/>
          <c:y val="0.92128402317057301"/>
          <c:w val="0.52923585451368804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2750-1476 - O-C Diagram [56532.9607 + 0.299132 E]</a:t>
            </a:r>
          </a:p>
        </c:rich>
      </c:tx>
      <c:layout>
        <c:manualLayout>
          <c:xMode val="edge"/>
          <c:yMode val="edge"/>
          <c:x val="0.18168199695758749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12573135317112449"/>
          <c:w val="0.84534658488554704"/>
          <c:h val="0.687136465004982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7-407C-8C96-B539ED2EFA7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2E-3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9.059999996679835E-3</c:v>
                </c:pt>
                <c:pt idx="1">
                  <c:v>2.2179999999934807E-2</c:v>
                </c:pt>
                <c:pt idx="2">
                  <c:v>1.7820000000938307E-2</c:v>
                </c:pt>
                <c:pt idx="3">
                  <c:v>2.4819999998726416E-2</c:v>
                </c:pt>
                <c:pt idx="4">
                  <c:v>1.9959999997809064E-2</c:v>
                </c:pt>
                <c:pt idx="5">
                  <c:v>-1.7399999996996485E-3</c:v>
                </c:pt>
                <c:pt idx="6">
                  <c:v>-7.2000000000116415E-3</c:v>
                </c:pt>
                <c:pt idx="8">
                  <c:v>7.1999999927356839E-3</c:v>
                </c:pt>
                <c:pt idx="9">
                  <c:v>4.1399999972782098E-3</c:v>
                </c:pt>
                <c:pt idx="10">
                  <c:v>9.8962118645431474E-3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7-407C-8C96-B539ED2EFA73}"/>
            </c:ext>
          </c:extLst>
        </c:ser>
        <c:ser>
          <c:idx val="7"/>
          <c:order val="2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-156</c:v>
                </c:pt>
                <c:pt idx="1">
                  <c:v>-85.5</c:v>
                </c:pt>
                <c:pt idx="2">
                  <c:v>-37</c:v>
                </c:pt>
                <c:pt idx="3">
                  <c:v>-37</c:v>
                </c:pt>
                <c:pt idx="4">
                  <c:v>-36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2.0101034396361031E-2</c:v>
                </c:pt>
                <c:pt idx="1">
                  <c:v>1.4414784491746425E-2</c:v>
                </c:pt>
                <c:pt idx="2">
                  <c:v>1.0502967181479642E-2</c:v>
                </c:pt>
                <c:pt idx="3">
                  <c:v>1.0502967181479642E-2</c:v>
                </c:pt>
                <c:pt idx="4">
                  <c:v>1.0422311154463831E-2</c:v>
                </c:pt>
                <c:pt idx="5">
                  <c:v>7.5993502089104822E-3</c:v>
                </c:pt>
                <c:pt idx="6">
                  <c:v>7.5186941818946723E-3</c:v>
                </c:pt>
                <c:pt idx="7">
                  <c:v>7.5186941818946723E-3</c:v>
                </c:pt>
                <c:pt idx="8">
                  <c:v>5.9055736415784725E-3</c:v>
                </c:pt>
                <c:pt idx="9">
                  <c:v>5.8249176145626627E-3</c:v>
                </c:pt>
                <c:pt idx="10">
                  <c:v>5.8249176145626627E-3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37-407C-8C96-B539ED2E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385904"/>
        <c:axId val="1"/>
      </c:scatterChart>
      <c:valAx>
        <c:axId val="63038590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3586184609806"/>
              <c:y val="0.89181532133044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538020905281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38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74806302365357"/>
          <c:y val="0.92105539439149053"/>
          <c:w val="0.36036083327421908"/>
          <c:h val="6.1403815751101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66565" name="Chart 1">
          <a:extLst>
            <a:ext uri="{FF2B5EF4-FFF2-40B4-BE49-F238E27FC236}">
              <a16:creationId xmlns:a16="http://schemas.microsoft.com/office/drawing/2014/main" id="{A14D57E9-B9B8-F3DC-064C-A0C66CCAF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14</xdr:col>
      <xdr:colOff>104775</xdr:colOff>
      <xdr:row>75</xdr:row>
      <xdr:rowOff>28575</xdr:rowOff>
    </xdr:to>
    <xdr:graphicFrame macro="">
      <xdr:nvGraphicFramePr>
        <xdr:cNvPr id="66567" name="Chart 4">
          <a:extLst>
            <a:ext uri="{FF2B5EF4-FFF2-40B4-BE49-F238E27FC236}">
              <a16:creationId xmlns:a16="http://schemas.microsoft.com/office/drawing/2014/main" id="{5DB83522-CD83-2DE0-7B3C-299CB854B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323850</xdr:colOff>
      <xdr:row>20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6C86595-158C-C45E-E19C-722B28812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0.25" x14ac:dyDescent="0.3">
      <c r="A1" s="1" t="s">
        <v>42</v>
      </c>
      <c r="E1">
        <v>0.139102</v>
      </c>
    </row>
    <row r="2" spans="1:20" s="10" customFormat="1" ht="12.95" customHeight="1" x14ac:dyDescent="0.2">
      <c r="A2" s="10" t="s">
        <v>24</v>
      </c>
      <c r="B2" s="10" t="s">
        <v>51</v>
      </c>
      <c r="C2" s="11"/>
      <c r="D2" s="11" t="s">
        <v>44</v>
      </c>
      <c r="E2" s="10">
        <f>2*E1</f>
        <v>0.27820400000000001</v>
      </c>
      <c r="S2" s="10">
        <v>56506.939000000006</v>
      </c>
      <c r="T2" s="10">
        <v>0.29902800000000002</v>
      </c>
    </row>
    <row r="3" spans="1:20" s="10" customFormat="1" ht="12.95" customHeight="1" thickBot="1" x14ac:dyDescent="0.25"/>
    <row r="4" spans="1:20" s="10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20" s="10" customFormat="1" ht="12.95" customHeight="1" x14ac:dyDescent="0.2"/>
    <row r="6" spans="1:20" s="10" customFormat="1" ht="12.95" customHeight="1" x14ac:dyDescent="0.2">
      <c r="A6" s="12" t="s">
        <v>1</v>
      </c>
    </row>
    <row r="7" spans="1:20" s="10" customFormat="1" ht="12.95" customHeight="1" x14ac:dyDescent="0.2">
      <c r="A7" s="10" t="s">
        <v>2</v>
      </c>
      <c r="C7" s="41">
        <v>56529.969700000001</v>
      </c>
      <c r="D7" s="16" t="s">
        <v>41</v>
      </c>
    </row>
    <row r="8" spans="1:20" s="10" customFormat="1" ht="12.95" customHeight="1" x14ac:dyDescent="0.2">
      <c r="A8" s="10" t="s">
        <v>3</v>
      </c>
      <c r="C8" s="41">
        <v>0.14196</v>
      </c>
      <c r="D8" s="16" t="s">
        <v>41</v>
      </c>
    </row>
    <row r="9" spans="1:20" s="10" customFormat="1" ht="12.95" customHeight="1" x14ac:dyDescent="0.2">
      <c r="A9" s="17" t="s">
        <v>30</v>
      </c>
      <c r="C9" s="18">
        <v>-9.5</v>
      </c>
      <c r="D9" s="10" t="s">
        <v>31</v>
      </c>
    </row>
    <row r="10" spans="1:20" s="10" customFormat="1" ht="12.95" customHeight="1" thickBot="1" x14ac:dyDescent="0.25">
      <c r="C10" s="19" t="s">
        <v>20</v>
      </c>
      <c r="D10" s="19" t="s">
        <v>21</v>
      </c>
    </row>
    <row r="11" spans="1:20" s="10" customFormat="1" ht="12.95" customHeight="1" x14ac:dyDescent="0.2">
      <c r="A11" s="10" t="s">
        <v>15</v>
      </c>
      <c r="C11" s="20">
        <f ca="1">INTERCEPT(INDIRECT($G$11):G991,INDIRECT($F$11):F991)</f>
        <v>7.5186941818946723E-3</v>
      </c>
      <c r="D11" s="11"/>
      <c r="F11" s="21" t="str">
        <f>"F"&amp;E19</f>
        <v>F21</v>
      </c>
      <c r="G11" s="20" t="str">
        <f>"G"&amp;E19</f>
        <v>G21</v>
      </c>
    </row>
    <row r="12" spans="1:20" s="10" customFormat="1" ht="12.95" customHeight="1" x14ac:dyDescent="0.2">
      <c r="A12" s="10" t="s">
        <v>16</v>
      </c>
      <c r="C12" s="20">
        <f ca="1">SLOPE(INDIRECT($G$11):G991,INDIRECT($F$11):F991)</f>
        <v>-8.0656027015809981E-5</v>
      </c>
      <c r="D12" s="11"/>
    </row>
    <row r="13" spans="1:20" s="10" customFormat="1" ht="12.95" customHeight="1" x14ac:dyDescent="0.2">
      <c r="A13" s="10" t="s">
        <v>19</v>
      </c>
      <c r="C13" s="11" t="s">
        <v>13</v>
      </c>
      <c r="D13" s="22" t="s">
        <v>37</v>
      </c>
      <c r="E13" s="18">
        <v>0.5</v>
      </c>
    </row>
    <row r="14" spans="1:20" s="10" customFormat="1" ht="12.95" customHeight="1" x14ac:dyDescent="0.2">
      <c r="D14" s="22" t="s">
        <v>32</v>
      </c>
      <c r="E14" s="23">
        <f ca="1">NOW()+15018.5+$C$9/24</f>
        <v>60371.752635879624</v>
      </c>
    </row>
    <row r="15" spans="1:20" s="10" customFormat="1" ht="12.95" customHeight="1" x14ac:dyDescent="0.2">
      <c r="A15" s="24" t="s">
        <v>17</v>
      </c>
      <c r="C15" s="25">
        <f ca="1">(C7+C11)+(C8+C12)*INT(MAX(F21:F3532))</f>
        <v>56532.956684917619</v>
      </c>
      <c r="D15" s="22" t="s">
        <v>38</v>
      </c>
      <c r="E15" s="23">
        <f ca="1">ROUND(2*(E14-$C$7)/$C$8,0)/2+E13</f>
        <v>27063</v>
      </c>
    </row>
    <row r="16" spans="1:20" s="10" customFormat="1" ht="12.95" customHeight="1" x14ac:dyDescent="0.2">
      <c r="A16" s="12" t="s">
        <v>4</v>
      </c>
      <c r="C16" s="26">
        <f ca="1">+C8+C12</f>
        <v>0.14187934397298418</v>
      </c>
      <c r="D16" s="22" t="s">
        <v>39</v>
      </c>
      <c r="E16" s="20">
        <f ca="1">ROUND(2*(E14-$C$15)/$C$16,0)/2+E13</f>
        <v>27057.5</v>
      </c>
    </row>
    <row r="17" spans="1:27" s="10" customFormat="1" ht="12.95" customHeight="1" thickBot="1" x14ac:dyDescent="0.25">
      <c r="A17" s="22" t="s">
        <v>29</v>
      </c>
      <c r="C17" s="10">
        <f>COUNT(C21:C2190)</f>
        <v>11</v>
      </c>
      <c r="D17" s="22" t="s">
        <v>33</v>
      </c>
      <c r="E17" s="27">
        <f ca="1">+$C$15+$C$16*E16-15018.5-$C$9/24</f>
        <v>45353.752867799973</v>
      </c>
    </row>
    <row r="18" spans="1:27" s="10" customFormat="1" ht="12.95" customHeight="1" thickTop="1" thickBot="1" x14ac:dyDescent="0.25">
      <c r="A18" s="12" t="s">
        <v>5</v>
      </c>
      <c r="C18" s="28">
        <f ca="1">+C15</f>
        <v>56532.956684917619</v>
      </c>
      <c r="D18" s="29">
        <f ca="1">+C16</f>
        <v>0.14187934397298418</v>
      </c>
      <c r="E18" s="30" t="s">
        <v>34</v>
      </c>
    </row>
    <row r="19" spans="1:27" s="10" customFormat="1" ht="12.95" customHeight="1" thickTop="1" x14ac:dyDescent="0.2">
      <c r="A19" s="31" t="s">
        <v>35</v>
      </c>
      <c r="E19" s="32">
        <v>21</v>
      </c>
      <c r="T19" s="10">
        <f ca="1">SQRT(SUM(T21:T26)/5)</f>
        <v>1.1125739357599992E-2</v>
      </c>
    </row>
    <row r="20" spans="1:27" s="10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">
        <v>41</v>
      </c>
      <c r="I20" s="33" t="s">
        <v>83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36</v>
      </c>
    </row>
    <row r="21" spans="1:27" s="10" customFormat="1" ht="12.95" customHeight="1" x14ac:dyDescent="0.2">
      <c r="A21" s="12" t="s">
        <v>43</v>
      </c>
      <c r="B21" s="11" t="s">
        <v>46</v>
      </c>
      <c r="C21" s="15">
        <v>56507.832999999999</v>
      </c>
      <c r="D21" s="15">
        <v>2E-3</v>
      </c>
      <c r="E21" s="10">
        <f>+(C21-C$7)/C$8</f>
        <v>-155.93617920542931</v>
      </c>
      <c r="F21" s="10">
        <f>ROUND(2*E21,0)/2</f>
        <v>-156</v>
      </c>
      <c r="G21" s="10">
        <f>+C21-(C$7+F21*C$8)</f>
        <v>9.059999996679835E-3</v>
      </c>
      <c r="I21" s="10">
        <f>+G21</f>
        <v>9.059999996679835E-3</v>
      </c>
      <c r="O21" s="10">
        <f ca="1">+C$11+C$12*$F21</f>
        <v>2.0101034396361031E-2</v>
      </c>
      <c r="Q21" s="36">
        <f>+C21-15018.5</f>
        <v>41489.332999999999</v>
      </c>
      <c r="S21" s="38" t="s">
        <v>45</v>
      </c>
      <c r="T21" s="10">
        <f ca="1">(O21-G21)^2</f>
        <v>1.2190444061494351E-4</v>
      </c>
      <c r="V21" s="10" t="s">
        <v>52</v>
      </c>
    </row>
    <row r="22" spans="1:27" s="10" customFormat="1" ht="12.95" customHeight="1" thickBot="1" x14ac:dyDescent="0.25">
      <c r="A22" s="12" t="s">
        <v>48</v>
      </c>
      <c r="B22" s="11" t="s">
        <v>47</v>
      </c>
      <c r="C22" s="37">
        <v>56517.854299999999</v>
      </c>
      <c r="D22" s="37">
        <v>2.9999999999999997E-4</v>
      </c>
      <c r="E22" s="10">
        <f>+(C22-C$7)/C$8</f>
        <v>-85.343758805314238</v>
      </c>
      <c r="F22" s="10">
        <f>ROUND(2*E22,0)/2</f>
        <v>-85.5</v>
      </c>
      <c r="G22" s="10">
        <f>+C22-(C$7+F22*C$8)</f>
        <v>2.2179999999934807E-2</v>
      </c>
      <c r="I22" s="10">
        <f>+G22</f>
        <v>2.2179999999934807E-2</v>
      </c>
      <c r="O22" s="10">
        <f ca="1">+C$11+C$12*$F22</f>
        <v>1.4414784491746425E-2</v>
      </c>
      <c r="Q22" s="36">
        <f>+C22-15018.5</f>
        <v>41499.354299999999</v>
      </c>
      <c r="S22" s="38" t="s">
        <v>45</v>
      </c>
      <c r="T22" s="10">
        <f ca="1">(O22-G22)^2</f>
        <v>6.0298571888609363E-5</v>
      </c>
    </row>
    <row r="23" spans="1:27" s="10" customFormat="1" ht="12.95" customHeight="1" x14ac:dyDescent="0.2">
      <c r="A23" s="38" t="s">
        <v>77</v>
      </c>
      <c r="B23" s="11"/>
      <c r="C23" s="15">
        <v>56524.735000000001</v>
      </c>
      <c r="D23" s="15">
        <v>1E-3</v>
      </c>
      <c r="E23" s="10">
        <f>+(C23-C$7)/C$8</f>
        <v>-36.874471682170224</v>
      </c>
      <c r="F23" s="10">
        <f>ROUND(2*E23,0)/2</f>
        <v>-37</v>
      </c>
      <c r="G23" s="10">
        <f>+C23-(C$7+F23*C$8)</f>
        <v>1.7820000000938307E-2</v>
      </c>
      <c r="I23" s="10">
        <f>+G23</f>
        <v>1.7820000000938307E-2</v>
      </c>
      <c r="O23" s="10">
        <f ca="1">+C$11+C$12*$F23</f>
        <v>1.0502967181479642E-2</v>
      </c>
      <c r="Q23" s="36">
        <f>+C23-15018.5</f>
        <v>41506.235000000001</v>
      </c>
      <c r="S23" s="38"/>
      <c r="T23" s="10">
        <f ca="1">(O23-G23)^2</f>
        <v>5.3538969281035224E-5</v>
      </c>
      <c r="V23" s="39" t="s">
        <v>53</v>
      </c>
      <c r="W23" s="39"/>
    </row>
    <row r="24" spans="1:27" s="10" customFormat="1" ht="12.95" customHeight="1" x14ac:dyDescent="0.2">
      <c r="A24" s="12" t="s">
        <v>50</v>
      </c>
      <c r="B24" s="11" t="s">
        <v>47</v>
      </c>
      <c r="C24" s="15">
        <v>56524.741999999998</v>
      </c>
      <c r="D24" s="15">
        <v>3.0000000000000001E-3</v>
      </c>
      <c r="E24" s="10">
        <f>+(C24-C$7)/C$8</f>
        <v>-36.825162017491522</v>
      </c>
      <c r="F24" s="10">
        <f>ROUND(2*E24,0)/2</f>
        <v>-37</v>
      </c>
      <c r="G24" s="10">
        <f>+C24-(C$7+F24*C$8)</f>
        <v>2.4819999998726416E-2</v>
      </c>
      <c r="I24" s="10">
        <f>+G24</f>
        <v>2.4819999998726416E-2</v>
      </c>
      <c r="O24" s="10">
        <f ca="1">+C$11+C$12*$F24</f>
        <v>1.0502967181479642E-2</v>
      </c>
      <c r="Q24" s="36">
        <f>+C24-15018.5</f>
        <v>41506.241999999998</v>
      </c>
      <c r="S24" s="38" t="s">
        <v>45</v>
      </c>
      <c r="T24" s="10">
        <f ca="1">(O24-G24)^2</f>
        <v>2.0497742869012109E-4</v>
      </c>
      <c r="V24" s="40" t="s">
        <v>54</v>
      </c>
      <c r="W24" s="40">
        <v>0</v>
      </c>
    </row>
    <row r="25" spans="1:27" x14ac:dyDescent="0.2">
      <c r="A25" s="4" t="s">
        <v>49</v>
      </c>
      <c r="B25" s="3" t="s">
        <v>46</v>
      </c>
      <c r="C25" s="5">
        <v>56524.879099999998</v>
      </c>
      <c r="D25" s="5">
        <v>3.0000000000000001E-3</v>
      </c>
      <c r="E25">
        <f>+(C25-C$7)/C$8</f>
        <v>-35.859397013265557</v>
      </c>
      <c r="F25">
        <f>ROUND(2*E25,0)/2</f>
        <v>-36</v>
      </c>
      <c r="G25">
        <f>+C25-(C$7+F25*C$8)</f>
        <v>1.9959999997809064E-2</v>
      </c>
      <c r="I25">
        <f>+G25</f>
        <v>1.9959999997809064E-2</v>
      </c>
      <c r="O25">
        <f ca="1">+C$11+C$12*$F25</f>
        <v>1.0422311154463831E-2</v>
      </c>
      <c r="Q25" s="2">
        <f>+C25-15018.5</f>
        <v>41506.379099999998</v>
      </c>
      <c r="S25" s="38" t="s">
        <v>45</v>
      </c>
      <c r="T25">
        <f ca="1">(O25-G25)^2</f>
        <v>9.0967508472472133E-5</v>
      </c>
      <c r="V25" s="7" t="s">
        <v>55</v>
      </c>
      <c r="W25" s="7">
        <v>0</v>
      </c>
    </row>
    <row r="26" spans="1:27" x14ac:dyDescent="0.2">
      <c r="A26" s="6" t="s">
        <v>78</v>
      </c>
      <c r="B26" s="3"/>
      <c r="C26" s="5">
        <v>56529.826000000001</v>
      </c>
      <c r="D26" s="5">
        <v>3.0000000000000001E-3</v>
      </c>
      <c r="E26">
        <f>+(C26-C$7)/C$8</f>
        <v>-1.0122569737992075</v>
      </c>
      <c r="F26">
        <f>ROUND(2*E26,0)/2</f>
        <v>-1</v>
      </c>
      <c r="G26">
        <f>+C26-(C$7+F26*C$8)</f>
        <v>-1.7399999996996485E-3</v>
      </c>
      <c r="I26">
        <f>+G26</f>
        <v>-1.7399999996996485E-3</v>
      </c>
      <c r="O26">
        <f ca="1">+C$11+C$12*$F26</f>
        <v>7.5993502089104822E-3</v>
      </c>
      <c r="Q26" s="2">
        <f>+C26-15018.5</f>
        <v>41511.326000000001</v>
      </c>
      <c r="T26">
        <f ca="1">(O26-G26)^2</f>
        <v>8.7223462319066088E-5</v>
      </c>
      <c r="V26" s="7" t="s">
        <v>56</v>
      </c>
      <c r="W26" s="7">
        <v>-0.25</v>
      </c>
    </row>
    <row r="27" spans="1:27" x14ac:dyDescent="0.2">
      <c r="A27" s="6" t="s">
        <v>79</v>
      </c>
      <c r="B27" s="3"/>
      <c r="C27" s="5">
        <v>56529.962500000001</v>
      </c>
      <c r="D27" s="5">
        <v>3.0000000000000001E-3</v>
      </c>
      <c r="E27">
        <f>+(C27-C$7)/C$8</f>
        <v>-5.0718512257055801E-2</v>
      </c>
      <c r="F27">
        <f>ROUND(2*E27,0)/2</f>
        <v>0</v>
      </c>
      <c r="G27">
        <f>+C27-(C$7+F27*C$8)</f>
        <v>-7.2000000000116415E-3</v>
      </c>
      <c r="I27">
        <f>+G27</f>
        <v>-7.2000000000116415E-3</v>
      </c>
      <c r="O27">
        <f ca="1">+C$11+C$12*$F27</f>
        <v>7.5186941818946723E-3</v>
      </c>
      <c r="Q27" s="2">
        <f>+C27-15018.5</f>
        <v>41511.462500000001</v>
      </c>
      <c r="V27" s="7" t="s">
        <v>57</v>
      </c>
      <c r="W27" s="7">
        <v>6.4472990191597607E-3</v>
      </c>
    </row>
    <row r="28" spans="1:27" ht="13.5" thickBot="1" x14ac:dyDescent="0.25">
      <c r="A28" t="str">
        <f>$D$7</f>
        <v>VSX</v>
      </c>
      <c r="B28" s="3"/>
      <c r="C28" s="5">
        <f>$C$7</f>
        <v>56529.969700000001</v>
      </c>
      <c r="D28" s="5">
        <v>2E-3</v>
      </c>
      <c r="E28">
        <f>+(C28-C$7)/C$8</f>
        <v>0</v>
      </c>
      <c r="F28">
        <f>ROUND(2*E28,0)/2</f>
        <v>0</v>
      </c>
      <c r="G28">
        <f>+C28-(C$7+F28*C$8)</f>
        <v>0</v>
      </c>
      <c r="H28">
        <f>+G28</f>
        <v>0</v>
      </c>
      <c r="O28">
        <f ca="1">+C$11+C$12*$F28</f>
        <v>7.5186941818946723E-3</v>
      </c>
      <c r="Q28" s="2">
        <f>+C28-15018.5</f>
        <v>41511.469700000001</v>
      </c>
      <c r="V28" s="8" t="s">
        <v>58</v>
      </c>
      <c r="W28" s="8">
        <v>6</v>
      </c>
    </row>
    <row r="29" spans="1:27" x14ac:dyDescent="0.2">
      <c r="A29" s="6" t="s">
        <v>80</v>
      </c>
      <c r="B29" s="3"/>
      <c r="C29" s="5">
        <v>56532.816099999996</v>
      </c>
      <c r="D29" s="5">
        <v>1E-3</v>
      </c>
      <c r="E29">
        <f>+(C29-C$7)/C$8</f>
        <v>20.050718512221056</v>
      </c>
      <c r="F29">
        <f>ROUND(2*E29,0)/2</f>
        <v>20</v>
      </c>
      <c r="G29">
        <f>+C29-(C$7+F29*C$8)</f>
        <v>7.1999999927356839E-3</v>
      </c>
      <c r="I29">
        <f>+G29</f>
        <v>7.1999999927356839E-3</v>
      </c>
      <c r="O29">
        <f ca="1">+C$11+C$12*$F29</f>
        <v>5.9055736415784725E-3</v>
      </c>
      <c r="Q29" s="2">
        <f>+C29-15018.5</f>
        <v>41514.316099999996</v>
      </c>
    </row>
    <row r="30" spans="1:27" ht="13.5" thickBot="1" x14ac:dyDescent="0.25">
      <c r="A30" s="6" t="s">
        <v>81</v>
      </c>
      <c r="B30" s="3"/>
      <c r="C30" s="5">
        <v>56532.955000000002</v>
      </c>
      <c r="D30" s="5">
        <v>2E-3</v>
      </c>
      <c r="E30">
        <f>+(C30-C$7)/C$8</f>
        <v>21.029163144549727</v>
      </c>
      <c r="F30">
        <f>ROUND(2*E30,0)/2</f>
        <v>21</v>
      </c>
      <c r="G30">
        <f>+C30-(C$7+F30*C$8)</f>
        <v>4.1399999972782098E-3</v>
      </c>
      <c r="I30">
        <f>+G30</f>
        <v>4.1399999972782098E-3</v>
      </c>
      <c r="O30">
        <f ca="1">+C$11+C$12*$F30</f>
        <v>5.8249176145626627E-3</v>
      </c>
      <c r="Q30" s="2">
        <f>+C30-15018.5</f>
        <v>41514.455000000002</v>
      </c>
      <c r="V30" t="s">
        <v>59</v>
      </c>
    </row>
    <row r="31" spans="1:27" x14ac:dyDescent="0.2">
      <c r="A31" s="6" t="s">
        <v>82</v>
      </c>
      <c r="B31" s="3"/>
      <c r="C31" s="5">
        <v>56532.960756211869</v>
      </c>
      <c r="D31" s="5">
        <v>2E-3</v>
      </c>
      <c r="E31">
        <f>+(C31-C$7)/C$8</f>
        <v>21.069711269847453</v>
      </c>
      <c r="F31">
        <f>ROUND(2*E31,0)/2</f>
        <v>21</v>
      </c>
      <c r="G31">
        <f>+C31-(C$7+F31*C$8)</f>
        <v>9.8962118645431474E-3</v>
      </c>
      <c r="I31">
        <f>+G31</f>
        <v>9.8962118645431474E-3</v>
      </c>
      <c r="O31">
        <f ca="1">+C$11+C$12*$F31</f>
        <v>5.8249176145626627E-3</v>
      </c>
      <c r="Q31" s="2">
        <f>+C31-15018.5</f>
        <v>41514.460756211869</v>
      </c>
      <c r="V31" s="9"/>
      <c r="W31" s="9" t="s">
        <v>64</v>
      </c>
      <c r="X31" s="9" t="s">
        <v>65</v>
      </c>
      <c r="Y31" s="9" t="s">
        <v>66</v>
      </c>
      <c r="Z31" s="9" t="s">
        <v>67</v>
      </c>
      <c r="AA31" s="9" t="s">
        <v>68</v>
      </c>
    </row>
    <row r="32" spans="1:27" x14ac:dyDescent="0.2">
      <c r="B32" s="3"/>
      <c r="C32" s="5"/>
      <c r="D32" s="5"/>
      <c r="Q32" s="2"/>
      <c r="V32" s="7" t="s">
        <v>60</v>
      </c>
      <c r="W32" s="7">
        <v>1</v>
      </c>
      <c r="X32" s="7">
        <v>0</v>
      </c>
      <c r="Y32" s="7">
        <v>0</v>
      </c>
      <c r="Z32" s="7">
        <v>0</v>
      </c>
      <c r="AA32" s="7">
        <v>1</v>
      </c>
    </row>
    <row r="33" spans="2:30" x14ac:dyDescent="0.2">
      <c r="B33" s="3"/>
      <c r="C33" s="5"/>
      <c r="D33" s="5"/>
      <c r="V33" s="7" t="s">
        <v>61</v>
      </c>
      <c r="W33" s="7">
        <v>4</v>
      </c>
      <c r="X33" s="7">
        <v>1.6627065856983364E-4</v>
      </c>
      <c r="Y33" s="7">
        <v>4.156766464245841E-5</v>
      </c>
      <c r="Z33" s="7"/>
      <c r="AA33" s="7"/>
    </row>
    <row r="34" spans="2:30" ht="13.5" thickBot="1" x14ac:dyDescent="0.25">
      <c r="C34" s="5"/>
      <c r="D34" s="5"/>
      <c r="V34" s="8" t="s">
        <v>62</v>
      </c>
      <c r="W34" s="8">
        <v>5</v>
      </c>
      <c r="X34" s="8">
        <v>1.6627065856983364E-4</v>
      </c>
      <c r="Y34" s="8"/>
      <c r="Z34" s="8"/>
      <c r="AA34" s="8"/>
    </row>
    <row r="35" spans="2:30" ht="13.5" thickBot="1" x14ac:dyDescent="0.25">
      <c r="C35" s="5"/>
      <c r="D35" s="5"/>
    </row>
    <row r="36" spans="2:30" x14ac:dyDescent="0.2">
      <c r="C36" s="5"/>
      <c r="D36" s="5"/>
      <c r="V36" s="9"/>
      <c r="W36" s="9" t="s">
        <v>69</v>
      </c>
      <c r="X36" s="9" t="s">
        <v>57</v>
      </c>
      <c r="Y36" s="9" t="s">
        <v>70</v>
      </c>
      <c r="Z36" s="9" t="s">
        <v>71</v>
      </c>
      <c r="AA36" s="9" t="s">
        <v>72</v>
      </c>
      <c r="AB36" s="9" t="s">
        <v>73</v>
      </c>
      <c r="AC36" s="9" t="s">
        <v>74</v>
      </c>
      <c r="AD36" s="9" t="s">
        <v>75</v>
      </c>
    </row>
    <row r="37" spans="2:30" x14ac:dyDescent="0.2">
      <c r="C37" s="5"/>
      <c r="D37" s="5"/>
      <c r="V37" s="7" t="s">
        <v>63</v>
      </c>
      <c r="W37" s="7">
        <v>1.640875548947544E-12</v>
      </c>
      <c r="X37" s="7">
        <v>3.6607614272346181E-3</v>
      </c>
      <c r="Y37" s="7">
        <v>4.4823340213871312E-10</v>
      </c>
      <c r="Z37" s="7">
        <v>1</v>
      </c>
      <c r="AA37" s="7">
        <v>-1.0163924196214836E-2</v>
      </c>
      <c r="AB37" s="7">
        <v>1.0163924199496585E-2</v>
      </c>
      <c r="AC37" s="7">
        <v>-1.0163924196214836E-2</v>
      </c>
      <c r="AD37" s="7">
        <v>1.0163924199496585E-2</v>
      </c>
    </row>
    <row r="38" spans="2:30" ht="13.5" thickBot="1" x14ac:dyDescent="0.25">
      <c r="C38" s="5"/>
      <c r="D38" s="5"/>
      <c r="V38" s="8" t="s">
        <v>76</v>
      </c>
      <c r="W38" s="8">
        <v>1.7185924277604269E-14</v>
      </c>
      <c r="X38" s="8">
        <v>1.0211054186412458E-4</v>
      </c>
      <c r="Y38" s="8">
        <v>1.6830705198365376E-10</v>
      </c>
      <c r="Z38" s="8">
        <v>1</v>
      </c>
      <c r="AA38" s="8">
        <v>-2.83504901336884E-4</v>
      </c>
      <c r="AB38" s="8">
        <v>2.8350490137125581E-4</v>
      </c>
      <c r="AC38" s="8">
        <v>-2.83504901336884E-4</v>
      </c>
      <c r="AD38" s="8">
        <v>2.8350490137125581E-4</v>
      </c>
    </row>
    <row r="39" spans="2:30" x14ac:dyDescent="0.2">
      <c r="C39" s="5"/>
      <c r="D39" s="5"/>
    </row>
    <row r="40" spans="2:30" x14ac:dyDescent="0.2">
      <c r="C40" s="5"/>
      <c r="D40" s="5"/>
    </row>
    <row r="41" spans="2:30" x14ac:dyDescent="0.2">
      <c r="C41" s="5"/>
      <c r="D41" s="5"/>
    </row>
    <row r="42" spans="2:30" x14ac:dyDescent="0.2">
      <c r="C42" s="5"/>
      <c r="D42" s="5"/>
    </row>
    <row r="43" spans="2:30" x14ac:dyDescent="0.2">
      <c r="C43" s="5"/>
      <c r="D43" s="5"/>
    </row>
    <row r="44" spans="2:30" x14ac:dyDescent="0.2">
      <c r="C44" s="5"/>
      <c r="D44" s="5"/>
    </row>
    <row r="45" spans="2:30" x14ac:dyDescent="0.2">
      <c r="C45" s="5"/>
      <c r="D45" s="5"/>
    </row>
    <row r="46" spans="2:30" x14ac:dyDescent="0.2">
      <c r="C46" s="5"/>
      <c r="D46" s="5"/>
    </row>
    <row r="47" spans="2:30" x14ac:dyDescent="0.2">
      <c r="C47" s="5"/>
      <c r="D47" s="5"/>
    </row>
    <row r="48" spans="2:30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sortState xmlns:xlrd2="http://schemas.microsoft.com/office/spreadsheetml/2017/richdata2" ref="A21:T33">
    <sortCondition ref="C21:C33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2024-03-02T05:03:47Z</dcterms:modified>
</cp:coreProperties>
</file>