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1AF52D-6385-49B1-93D5-64750A6258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B2" i="1" l="1"/>
  <c r="C4" i="1"/>
  <c r="D4" i="1"/>
  <c r="C7" i="1"/>
  <c r="E22" i="1"/>
  <c r="F22" i="1"/>
  <c r="G22" i="1"/>
  <c r="J22" i="1"/>
  <c r="C8" i="1"/>
  <c r="E26" i="1"/>
  <c r="F26" i="1"/>
  <c r="G26" i="1"/>
  <c r="J26" i="1"/>
  <c r="C9" i="1"/>
  <c r="D9" i="1"/>
  <c r="F16" i="1"/>
  <c r="F17" i="1" s="1"/>
  <c r="C17" i="1"/>
  <c r="Q21" i="1"/>
  <c r="Q22" i="1"/>
  <c r="E23" i="1"/>
  <c r="F23" i="1"/>
  <c r="G23" i="1"/>
  <c r="J23" i="1"/>
  <c r="Q23" i="1"/>
  <c r="E24" i="1"/>
  <c r="F24" i="1"/>
  <c r="G24" i="1"/>
  <c r="J24" i="1"/>
  <c r="Q24" i="1"/>
  <c r="Q25" i="1"/>
  <c r="Q26" i="1"/>
  <c r="E27" i="1"/>
  <c r="F27" i="1"/>
  <c r="G27" i="1"/>
  <c r="I27" i="1"/>
  <c r="Q27" i="1"/>
  <c r="E28" i="1"/>
  <c r="F28" i="1"/>
  <c r="G28" i="1"/>
  <c r="K28" i="1"/>
  <c r="Q28" i="1"/>
  <c r="Q29" i="1"/>
  <c r="Q30" i="1"/>
  <c r="E31" i="1"/>
  <c r="F31" i="1"/>
  <c r="G31" i="1"/>
  <c r="K31" i="1"/>
  <c r="Q31" i="1"/>
  <c r="E32" i="1"/>
  <c r="F32" i="1"/>
  <c r="G32" i="1"/>
  <c r="K32" i="1"/>
  <c r="Q32" i="1"/>
  <c r="Q33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A11" i="2"/>
  <c r="D11" i="2"/>
  <c r="G11" i="2"/>
  <c r="C11" i="2"/>
  <c r="E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E18" i="2"/>
  <c r="G18" i="2"/>
  <c r="H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E12" i="2"/>
  <c r="E33" i="1"/>
  <c r="F33" i="1"/>
  <c r="G33" i="1"/>
  <c r="K33" i="1"/>
  <c r="E29" i="1"/>
  <c r="F29" i="1"/>
  <c r="G29" i="1"/>
  <c r="K29" i="1"/>
  <c r="E25" i="1"/>
  <c r="F25" i="1"/>
  <c r="G25" i="1"/>
  <c r="E21" i="1"/>
  <c r="F21" i="1"/>
  <c r="G21" i="1"/>
  <c r="J21" i="1"/>
  <c r="E34" i="1"/>
  <c r="F34" i="1"/>
  <c r="E30" i="1"/>
  <c r="F30" i="1"/>
  <c r="G30" i="1"/>
  <c r="K30" i="1"/>
  <c r="U34" i="1"/>
  <c r="G34" i="1"/>
  <c r="E19" i="2"/>
  <c r="E20" i="2"/>
  <c r="E16" i="2"/>
  <c r="J25" i="1"/>
  <c r="E15" i="2"/>
  <c r="K34" i="1"/>
  <c r="C11" i="1"/>
  <c r="C12" i="1"/>
  <c r="C16" i="1" l="1"/>
  <c r="D18" i="1" s="1"/>
  <c r="O28" i="1"/>
  <c r="O21" i="1"/>
  <c r="C15" i="1"/>
  <c r="O23" i="1"/>
  <c r="O32" i="1"/>
  <c r="O29" i="1"/>
  <c r="O26" i="1"/>
  <c r="O27" i="1"/>
  <c r="O36" i="1"/>
  <c r="O22" i="1"/>
  <c r="O30" i="1"/>
  <c r="O25" i="1"/>
  <c r="O24" i="1"/>
  <c r="O31" i="1"/>
  <c r="O34" i="1"/>
  <c r="O33" i="1"/>
  <c r="O37" i="1"/>
  <c r="O35" i="1"/>
  <c r="C18" i="1" l="1"/>
  <c r="F18" i="1"/>
  <c r="F19" i="1" s="1"/>
</calcChain>
</file>

<file path=xl/sharedStrings.xml><?xml version="1.0" encoding="utf-8"?>
<sst xmlns="http://schemas.openxmlformats.org/spreadsheetml/2006/main" count="187" uniqueCount="114">
  <si>
    <t xml:space="preserve">KP Peg / GSC 1118-1950               </t>
  </si>
  <si>
    <t xml:space="preserve">EB/KE     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</si>
  <si>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</si>
  <si>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</si>
  <si>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</si>
  <si>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</si>
  <si>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</si>
  <si>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</si>
  <si>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</si>
  <si>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</si>
  <si>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</si>
  <si>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</si>
  <si>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</si>
  <si>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</si>
  <si>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</si>
  <si>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</si>
  <si>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</si>
  <si>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</si>
  <si>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</si>
  <si>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</si>
  <si>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</si>
  <si>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</si>
  <si>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</si>
  <si>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</si>
  <si>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</si>
  <si>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</si>
  <si>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</si>
  <si>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</si>
  <si>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</si>
  <si>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</si>
  <si>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</si>
  <si>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</si>
  <si>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</si>
  <si>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</si>
  <si>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</si>
  <si>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</si>
  <si>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</si>
  <si>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</si>
  <si>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</si>
  <si>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</si>
  <si>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</si>
  <si>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</si>
  <si>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</si>
  <si>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3160 </t>
  </si>
  <si>
    <t>I</t>
  </si>
  <si>
    <t>IBVS 3355 </t>
  </si>
  <si>
    <t>IBVS 4855</t>
  </si>
  <si>
    <t>Kreiner</t>
  </si>
  <si>
    <t>IBVS 5897</t>
  </si>
  <si>
    <t>II</t>
  </si>
  <si>
    <t>IBVS 6007</t>
  </si>
  <si>
    <t>IBVS 6114</t>
  </si>
  <si>
    <t>OEJV 0179</t>
  </si>
  <si>
    <t>OEJV 0191</t>
  </si>
  <si>
    <t>VSB 069</t>
  </si>
  <si>
    <t>cB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</si>
  <si>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</si>
  <si>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</si>
  <si>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</si>
  <si>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</si>
  <si>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</si>
  <si>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</si>
  <si>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</si>
  <si>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</si>
  <si>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2451421.3872 </t>
  </si>
  <si>
    <t> 30.08.1999 21:17 </t>
  </si>
  <si>
    <t> -0.0004 </t>
  </si>
  <si>
    <t>E </t>
  </si>
  <si>
    <t>B</t>
  </si>
  <si>
    <t> V.Keskin et al. </t>
  </si>
  <si>
    <t>IBVS 4855 </t>
  </si>
  <si>
    <t>2451421.3873 </t>
  </si>
  <si>
    <t> -0.0003 </t>
  </si>
  <si>
    <t>G</t>
  </si>
  <si>
    <t>2451421.3874 </t>
  </si>
  <si>
    <t> -0.0002 </t>
  </si>
  <si>
    <t>R</t>
  </si>
  <si>
    <t>2454344.3843 </t>
  </si>
  <si>
    <t> 31.08.2007 21:13 </t>
  </si>
  <si>
    <t> 0.0003 </t>
  </si>
  <si>
    <t>C </t>
  </si>
  <si>
    <t>m</t>
  </si>
  <si>
    <t> A.Liakos &amp; P.Niarchos </t>
  </si>
  <si>
    <t>IBVS 5897 </t>
  </si>
  <si>
    <t>2454345.4728 </t>
  </si>
  <si>
    <t> 01.09.2007 23:20 </t>
  </si>
  <si>
    <t> -0.0020 </t>
  </si>
  <si>
    <t>2455033.40866 </t>
  </si>
  <si>
    <t> 20.07.2009 21:48 </t>
  </si>
  <si>
    <t> -0.00117 </t>
  </si>
  <si>
    <t> R.Uhlar </t>
  </si>
  <si>
    <t>IBVS 6007 </t>
  </si>
  <si>
    <t>2455446.46482 </t>
  </si>
  <si>
    <t> 06.09.2010 23:09 </t>
  </si>
  <si>
    <t> 0.00312 </t>
  </si>
  <si>
    <t>2455806.42826 </t>
  </si>
  <si>
    <t> 01.09.2011 22:16 </t>
  </si>
  <si>
    <t> 0.00058 </t>
  </si>
  <si>
    <t>2456499.45219 </t>
  </si>
  <si>
    <t> 25.07.2013 22:51 </t>
  </si>
  <si>
    <t> -0.00091 </t>
  </si>
  <si>
    <t>IBVS 6114 </t>
  </si>
  <si>
    <t>2446731.6339 </t>
  </si>
  <si>
    <t> 28.10.1986 03:12 </t>
  </si>
  <si>
    <t> -4036.7245 </t>
  </si>
  <si>
    <t>?</t>
  </si>
  <si>
    <t> R.L.Walker </t>
  </si>
  <si>
    <t>2447064.6953 </t>
  </si>
  <si>
    <t> 26.09.1987 04:41 </t>
  </si>
  <si>
    <t> -4036.7225 </t>
  </si>
  <si>
    <t>2447385.3954 </t>
  </si>
  <si>
    <t> 11.08.1988 21:29 </t>
  </si>
  <si>
    <t> -4036.7194 </t>
  </si>
  <si>
    <t> Akan &amp; Keskin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</si>
</sst>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5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Peg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6215538847119"/>
          <c:y val="0.15615678670796782"/>
          <c:w val="0.80401002506265662"/>
          <c:h val="0.627629204007156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Active!$H$21:$H$37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4F-4EC9-AE9A-91C04AA063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Active!$I$21:$I$37</c:f>
              <c:numCache>
                <c:formatCode>General</c:formatCode>
                <c:ptCount val="17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4F-4EC9-AE9A-91C04AA0632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Active!$J$21:$J$370</c:f>
              <c:numCache>
                <c:formatCode>General</c:formatCode>
                <c:ptCount val="350"/>
                <c:pt idx="0">
                  <c:v>-2.2819000005256385E-3</c:v>
                </c:pt>
                <c:pt idx="1">
                  <c:v>-1.0925000024144538E-3</c:v>
                </c:pt>
                <c:pt idx="2">
                  <c:v>1.2937999999849126E-3</c:v>
                </c:pt>
                <c:pt idx="3">
                  <c:v>1.4587999976356514E-3</c:v>
                </c:pt>
                <c:pt idx="4">
                  <c:v>1.5588000023853965E-3</c:v>
                </c:pt>
                <c:pt idx="5">
                  <c:v>1.658799999859184E-3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4F-4EC9-AE9A-91C04AA0632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Active!$K$21:$K$370</c:f>
              <c:numCache>
                <c:formatCode>General</c:formatCode>
                <c:ptCount val="350"/>
                <c:pt idx="7">
                  <c:v>-4.7523500034003519E-3</c:v>
                </c:pt>
                <c:pt idx="8">
                  <c:v>-7.0608999958494678E-3</c:v>
                </c:pt>
                <c:pt idx="9">
                  <c:v>-7.7930999977979809E-3</c:v>
                </c:pt>
                <c:pt idx="10">
                  <c:v>-4.4706999979098327E-3</c:v>
                </c:pt>
                <c:pt idx="11">
                  <c:v>-7.852199996705167E-3</c:v>
                </c:pt>
                <c:pt idx="12">
                  <c:v>-1.0954299999866635E-2</c:v>
                </c:pt>
                <c:pt idx="13">
                  <c:v>-2.0022000026074238E-3</c:v>
                </c:pt>
                <c:pt idx="14">
                  <c:v>-3.8107000000309199E-3</c:v>
                </c:pt>
                <c:pt idx="15">
                  <c:v>-3.5303700002259575E-2</c:v>
                </c:pt>
                <c:pt idx="16">
                  <c:v>-2.6303700004064012E-2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4F-4EC9-AE9A-91C04AA0632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Active!$L$21:$L$37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4F-4EC9-AE9A-91C04AA063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Active!$M$21:$M$37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4F-4EC9-AE9A-91C04AA063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Active!$N$21:$N$37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4F-4EC9-AE9A-91C04AA063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Active!$O$21:$O$37</c:f>
              <c:numCache>
                <c:formatCode>General</c:formatCode>
                <c:ptCount val="17"/>
                <c:pt idx="0">
                  <c:v>1.7125767133179037E-2</c:v>
                </c:pt>
                <c:pt idx="1">
                  <c:v>1.6150746771689616E-2</c:v>
                </c:pt>
                <c:pt idx="2">
                  <c:v>1.5211917122307884E-2</c:v>
                </c:pt>
                <c:pt idx="3">
                  <c:v>3.3967140518575177E-3</c:v>
                </c:pt>
                <c:pt idx="4">
                  <c:v>3.3967140518575177E-3</c:v>
                </c:pt>
                <c:pt idx="5">
                  <c:v>3.3967140518575177E-3</c:v>
                </c:pt>
                <c:pt idx="6">
                  <c:v>2.3747777139835648E-4</c:v>
                </c:pt>
                <c:pt idx="7">
                  <c:v>-5.1602604961920769E-3</c:v>
                </c:pt>
                <c:pt idx="8">
                  <c:v>-5.163453794319226E-3</c:v>
                </c:pt>
                <c:pt idx="9">
                  <c:v>-7.1773604798410365E-3</c:v>
                </c:pt>
                <c:pt idx="10">
                  <c:v>-8.3865560373213629E-3</c:v>
                </c:pt>
                <c:pt idx="11">
                  <c:v>-9.4403444192804487E-3</c:v>
                </c:pt>
                <c:pt idx="12">
                  <c:v>-1.1469153162728953E-2</c:v>
                </c:pt>
                <c:pt idx="13">
                  <c:v>-1.4762507964528363E-2</c:v>
                </c:pt>
                <c:pt idx="14">
                  <c:v>-1.6050471542478358E-2</c:v>
                </c:pt>
                <c:pt idx="15">
                  <c:v>-1.9222481015446116E-2</c:v>
                </c:pt>
                <c:pt idx="16">
                  <c:v>-1.9222481015446116E-2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4F-4EC9-AE9A-91C04AA0632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-7933</c:v>
                </c:pt>
                <c:pt idx="1">
                  <c:v>-7475</c:v>
                </c:pt>
                <c:pt idx="2">
                  <c:v>-7034</c:v>
                </c:pt>
                <c:pt idx="3">
                  <c:v>-1484</c:v>
                </c:pt>
                <c:pt idx="4">
                  <c:v>-1484</c:v>
                </c:pt>
                <c:pt idx="5">
                  <c:v>-1484</c:v>
                </c:pt>
                <c:pt idx="6">
                  <c:v>0</c:v>
                </c:pt>
                <c:pt idx="7">
                  <c:v>2535.5</c:v>
                </c:pt>
                <c:pt idx="8">
                  <c:v>2537</c:v>
                </c:pt>
                <c:pt idx="9">
                  <c:v>3483</c:v>
                </c:pt>
                <c:pt idx="10">
                  <c:v>4051</c:v>
                </c:pt>
                <c:pt idx="11">
                  <c:v>4546</c:v>
                </c:pt>
                <c:pt idx="12">
                  <c:v>5499</c:v>
                </c:pt>
                <c:pt idx="13">
                  <c:v>7046</c:v>
                </c:pt>
                <c:pt idx="14">
                  <c:v>7651</c:v>
                </c:pt>
                <c:pt idx="15">
                  <c:v>9141</c:v>
                </c:pt>
                <c:pt idx="16">
                  <c:v>9141</c:v>
                </c:pt>
              </c:numCache>
            </c:numRef>
          </c:xVal>
          <c:yVal>
            <c:numRef>
              <c:f>Active!$U$21:$U$370</c:f>
              <c:numCache>
                <c:formatCode>General</c:formatCode>
                <c:ptCount val="350"/>
                <c:pt idx="13">
                  <c:v>-2.0022000026074238E-3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4F-4EC9-AE9A-91C04AA06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857376"/>
        <c:axId val="1"/>
      </c:scatterChart>
      <c:valAx>
        <c:axId val="75385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8573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96240601503761"/>
          <c:y val="0.91291543512015949"/>
          <c:w val="0.7233082706766915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B84A98-E5B5-A158-060F-0B1A637A5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konkoly.hu/cgi-bin/IBVS?4855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3355" TargetMode="External"/><Relationship Id="rId2" Type="http://schemas.openxmlformats.org/officeDocument/2006/relationships/hyperlink" Target="http://www.konkoly.hu/cgi-bin/IBVS?4855" TargetMode="External"/><Relationship Id="rId1" Type="http://schemas.openxmlformats.org/officeDocument/2006/relationships/hyperlink" Target="http://www.konkoly.hu/cgi-bin/IBVS?4855" TargetMode="External"/><Relationship Id="rId6" Type="http://schemas.openxmlformats.org/officeDocument/2006/relationships/hyperlink" Target="http://www.konkoly.hu/cgi-bin/IBVS?6007" TargetMode="External"/><Relationship Id="rId11" Type="http://schemas.openxmlformats.org/officeDocument/2006/relationships/hyperlink" Target="http://www.konkoly.hu/cgi-bin/IBVS?3160" TargetMode="External"/><Relationship Id="rId5" Type="http://schemas.openxmlformats.org/officeDocument/2006/relationships/hyperlink" Target="http://www.konkoly.hu/cgi-bin/IBVS?5897" TargetMode="External"/><Relationship Id="rId10" Type="http://schemas.openxmlformats.org/officeDocument/2006/relationships/hyperlink" Target="http://www.konkoly.hu/cgi-bin/IBVS?3160" TargetMode="External"/><Relationship Id="rId4" Type="http://schemas.openxmlformats.org/officeDocument/2006/relationships/hyperlink" Target="http://www.konkoly.hu/cgi-bin/IBVS?5897" TargetMode="External"/><Relationship Id="rId9" Type="http://schemas.openxmlformats.org/officeDocument/2006/relationships/hyperlink" Target="http://www.konkoly.hu/cgi-bin/IBVS?6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52500.559000000001</v>
      </c>
      <c r="G1" s="3">
        <v>0.72720569999999995</v>
      </c>
      <c r="H1" s="3" t="s">
        <v>1</v>
      </c>
    </row>
    <row r="2" spans="1:8" s="34" customFormat="1" ht="12.95" customHeight="1" x14ac:dyDescent="0.2">
      <c r="A2" s="34" t="s">
        <v>2</v>
      </c>
      <c r="B2" s="34" t="str">
        <f>H1</f>
        <v xml:space="preserve">EB/KE     </v>
      </c>
      <c r="C2" s="35"/>
      <c r="D2" s="35"/>
    </row>
    <row r="3" spans="1:8" s="34" customFormat="1" ht="12.95" customHeight="1" x14ac:dyDescent="0.2"/>
    <row r="4" spans="1:8" s="34" customFormat="1" ht="12.95" customHeight="1" x14ac:dyDescent="0.2">
      <c r="A4" s="36" t="s">
        <v>3</v>
      </c>
      <c r="C4" s="37">
        <f>F1</f>
        <v>52500.559000000001</v>
      </c>
      <c r="D4" s="38">
        <f>G1</f>
        <v>0.72720569999999995</v>
      </c>
    </row>
    <row r="5" spans="1:8" s="34" customFormat="1" ht="12.95" customHeight="1" x14ac:dyDescent="0.2">
      <c r="A5" s="39" t="s">
        <v>4</v>
      </c>
      <c r="C5" s="40">
        <v>-9.5</v>
      </c>
      <c r="D5" s="34" t="s">
        <v>5</v>
      </c>
    </row>
    <row r="6" spans="1:8" s="34" customFormat="1" ht="12.95" customHeight="1" x14ac:dyDescent="0.2">
      <c r="A6" s="36" t="s">
        <v>6</v>
      </c>
    </row>
    <row r="7" spans="1:8" s="34" customFormat="1" ht="12.95" customHeight="1" x14ac:dyDescent="0.2">
      <c r="A7" s="34" t="s">
        <v>7</v>
      </c>
      <c r="C7" s="34">
        <f>C4</f>
        <v>52500.559000000001</v>
      </c>
    </row>
    <row r="8" spans="1:8" s="34" customFormat="1" ht="12.95" customHeight="1" x14ac:dyDescent="0.2">
      <c r="A8" s="34" t="s">
        <v>8</v>
      </c>
      <c r="C8" s="34">
        <f>D4</f>
        <v>0.72720569999999995</v>
      </c>
      <c r="D8" s="40"/>
    </row>
    <row r="9" spans="1:8" s="34" customFormat="1" ht="12.95" customHeight="1" x14ac:dyDescent="0.2">
      <c r="A9" s="41" t="s">
        <v>9</v>
      </c>
      <c r="B9" s="42">
        <v>24</v>
      </c>
      <c r="C9" s="43" t="str">
        <f>"F"&amp;B9</f>
        <v>F24</v>
      </c>
      <c r="D9" s="44" t="str">
        <f>"G"&amp;B9</f>
        <v>G24</v>
      </c>
    </row>
    <row r="10" spans="1:8" s="34" customFormat="1" ht="12.95" customHeight="1" x14ac:dyDescent="0.2">
      <c r="C10" s="45" t="s">
        <v>10</v>
      </c>
      <c r="D10" s="45" t="s">
        <v>11</v>
      </c>
    </row>
    <row r="11" spans="1:8" s="34" customFormat="1" ht="12.95" customHeight="1" x14ac:dyDescent="0.2">
      <c r="A11" s="34" t="s">
        <v>12</v>
      </c>
      <c r="C11" s="44">
        <f ca="1">INTERCEPT(INDIRECT($D$9):G991,INDIRECT($C$9):F991)</f>
        <v>2.3747777139835648E-4</v>
      </c>
      <c r="D11" s="35"/>
    </row>
    <row r="12" spans="1:8" s="34" customFormat="1" ht="12.95" customHeight="1" x14ac:dyDescent="0.2">
      <c r="A12" s="34" t="s">
        <v>13</v>
      </c>
      <c r="C12" s="44">
        <f ca="1">SLOPE(INDIRECT($D$9):G991,INDIRECT($C$9):F991)</f>
        <v>-2.1288654180991653E-6</v>
      </c>
      <c r="D12" s="35"/>
    </row>
    <row r="13" spans="1:8" s="34" customFormat="1" ht="12.95" customHeight="1" x14ac:dyDescent="0.2">
      <c r="A13" s="34" t="s">
        <v>14</v>
      </c>
      <c r="C13" s="35" t="s">
        <v>15</v>
      </c>
    </row>
    <row r="14" spans="1:8" s="34" customFormat="1" ht="12.95" customHeight="1" x14ac:dyDescent="0.2"/>
    <row r="15" spans="1:8" s="34" customFormat="1" ht="12.95" customHeight="1" x14ac:dyDescent="0.2">
      <c r="A15" s="36" t="s">
        <v>16</v>
      </c>
      <c r="C15" s="46">
        <f ca="1">(C7+C11)+(C8+C12)*INT(MAX(F21:F3532))</f>
        <v>59147.927081218979</v>
      </c>
      <c r="E15" s="41" t="s">
        <v>17</v>
      </c>
      <c r="F15" s="40">
        <v>1</v>
      </c>
    </row>
    <row r="16" spans="1:8" s="34" customFormat="1" ht="12.95" customHeight="1" x14ac:dyDescent="0.2">
      <c r="A16" s="36" t="s">
        <v>18</v>
      </c>
      <c r="C16" s="46">
        <f ca="1">+C8+C12</f>
        <v>0.72720357113458189</v>
      </c>
      <c r="E16" s="41" t="s">
        <v>19</v>
      </c>
      <c r="F16" s="44">
        <f ca="1">NOW()+15018.5+$C$5/24</f>
        <v>60371.76015405092</v>
      </c>
    </row>
    <row r="17" spans="1:21" s="34" customFormat="1" ht="12.95" customHeight="1" x14ac:dyDescent="0.2">
      <c r="A17" s="41" t="s">
        <v>20</v>
      </c>
      <c r="C17" s="34">
        <f>COUNT(C21:C2190)</f>
        <v>17</v>
      </c>
      <c r="E17" s="41" t="s">
        <v>21</v>
      </c>
      <c r="F17" s="44">
        <f ca="1">ROUND(2*(F16-$C$7)/$C$8,0)/2+F15</f>
        <v>10825</v>
      </c>
    </row>
    <row r="18" spans="1:21" s="34" customFormat="1" ht="12.95" customHeight="1" x14ac:dyDescent="0.2">
      <c r="A18" s="36" t="s">
        <v>22</v>
      </c>
      <c r="C18" s="47">
        <f ca="1">+C15</f>
        <v>59147.927081218979</v>
      </c>
      <c r="D18" s="48">
        <f ca="1">+C16</f>
        <v>0.72720357113458189</v>
      </c>
      <c r="E18" s="41" t="s">
        <v>23</v>
      </c>
      <c r="F18" s="44">
        <f ca="1">ROUND(2*(F16-$C$15)/$C$16,0)/2+F15</f>
        <v>1684</v>
      </c>
    </row>
    <row r="19" spans="1:21" s="34" customFormat="1" ht="12.95" customHeight="1" x14ac:dyDescent="0.2">
      <c r="E19" s="41" t="s">
        <v>24</v>
      </c>
      <c r="F19" s="49">
        <f ca="1">+$C$15+$C$16*F18-15018.5-$C$5/24</f>
        <v>45354.433728342949</v>
      </c>
    </row>
    <row r="20" spans="1:21" s="34" customFormat="1" ht="12.95" customHeight="1" x14ac:dyDescent="0.2">
      <c r="A20" s="45" t="s">
        <v>25</v>
      </c>
      <c r="B20" s="45" t="s">
        <v>26</v>
      </c>
      <c r="C20" s="45" t="s">
        <v>27</v>
      </c>
      <c r="D20" s="45" t="s">
        <v>28</v>
      </c>
      <c r="E20" s="45" t="s">
        <v>29</v>
      </c>
      <c r="F20" s="45" t="s">
        <v>30</v>
      </c>
      <c r="G20" s="45" t="s">
        <v>31</v>
      </c>
      <c r="H20" s="50" t="s">
        <v>32</v>
      </c>
      <c r="I20" s="50" t="s">
        <v>33</v>
      </c>
      <c r="J20" s="50" t="s">
        <v>34</v>
      </c>
      <c r="K20" s="50" t="s">
        <v>35</v>
      </c>
      <c r="L20" s="50" t="s">
        <v>36</v>
      </c>
      <c r="M20" s="50" t="s">
        <v>37</v>
      </c>
      <c r="N20" s="50" t="s">
        <v>38</v>
      </c>
      <c r="O20" s="50" t="s">
        <v>39</v>
      </c>
      <c r="P20" s="50" t="s">
        <v>40</v>
      </c>
      <c r="Q20" s="45" t="s">
        <v>41</v>
      </c>
      <c r="U20" s="51" t="s">
        <v>42</v>
      </c>
    </row>
    <row r="21" spans="1:21" s="34" customFormat="1" ht="12.95" customHeight="1" x14ac:dyDescent="0.2">
      <c r="A21" s="52" t="s">
        <v>43</v>
      </c>
      <c r="B21" s="53" t="s">
        <v>44</v>
      </c>
      <c r="C21" s="54">
        <v>46731.633900000001</v>
      </c>
      <c r="D21" s="6"/>
      <c r="E21" s="34">
        <f t="shared" ref="E21:E33" si="0">+(C21-C$7)/C$8</f>
        <v>-7933.0031379016982</v>
      </c>
      <c r="F21" s="34">
        <f t="shared" ref="F21:F35" si="1">ROUND(2*E21,0)/2</f>
        <v>-7933</v>
      </c>
      <c r="G21" s="34">
        <f t="shared" ref="G21:G33" si="2">+C21-(C$7+F21*C$8)</f>
        <v>-2.2819000005256385E-3</v>
      </c>
      <c r="J21" s="34">
        <f t="shared" ref="J21:J26" si="3">+G21</f>
        <v>-2.2819000005256385E-3</v>
      </c>
      <c r="O21" s="34">
        <f t="shared" ref="O21:O33" ca="1" si="4">+C$11+C$12*$F21</f>
        <v>1.7125767133179037E-2</v>
      </c>
      <c r="Q21" s="55">
        <f t="shared" ref="Q21:Q33" si="5">+C21-15018.5</f>
        <v>31713.133900000001</v>
      </c>
    </row>
    <row r="22" spans="1:21" s="34" customFormat="1" ht="12.95" customHeight="1" x14ac:dyDescent="0.2">
      <c r="A22" s="52" t="s">
        <v>43</v>
      </c>
      <c r="B22" s="53" t="s">
        <v>44</v>
      </c>
      <c r="C22" s="54">
        <v>47064.695299999999</v>
      </c>
      <c r="D22" s="56"/>
      <c r="E22" s="34">
        <f t="shared" si="0"/>
        <v>-7475.0015023259612</v>
      </c>
      <c r="F22" s="34">
        <f t="shared" si="1"/>
        <v>-7475</v>
      </c>
      <c r="G22" s="34">
        <f t="shared" si="2"/>
        <v>-1.0925000024144538E-3</v>
      </c>
      <c r="J22" s="34">
        <f t="shared" si="3"/>
        <v>-1.0925000024144538E-3</v>
      </c>
      <c r="O22" s="34">
        <f t="shared" ca="1" si="4"/>
        <v>1.6150746771689616E-2</v>
      </c>
      <c r="Q22" s="55">
        <f t="shared" si="5"/>
        <v>32046.195299999999</v>
      </c>
    </row>
    <row r="23" spans="1:21" s="34" customFormat="1" ht="12.95" customHeight="1" x14ac:dyDescent="0.2">
      <c r="A23" s="52" t="s">
        <v>45</v>
      </c>
      <c r="B23" s="53" t="s">
        <v>44</v>
      </c>
      <c r="C23" s="54">
        <v>47385.395400000001</v>
      </c>
      <c r="D23" s="56"/>
      <c r="E23" s="34">
        <f t="shared" si="0"/>
        <v>-7033.9982208610299</v>
      </c>
      <c r="F23" s="34">
        <f t="shared" si="1"/>
        <v>-7034</v>
      </c>
      <c r="G23" s="34">
        <f t="shared" si="2"/>
        <v>1.2937999999849126E-3</v>
      </c>
      <c r="J23" s="34">
        <f t="shared" si="3"/>
        <v>1.2937999999849126E-3</v>
      </c>
      <c r="O23" s="34">
        <f t="shared" ca="1" si="4"/>
        <v>1.5211917122307884E-2</v>
      </c>
      <c r="Q23" s="55">
        <f t="shared" si="5"/>
        <v>32366.895400000001</v>
      </c>
    </row>
    <row r="24" spans="1:21" s="34" customFormat="1" ht="12.95" customHeight="1" x14ac:dyDescent="0.2">
      <c r="A24" s="6" t="s">
        <v>46</v>
      </c>
      <c r="B24" s="7" t="s">
        <v>44</v>
      </c>
      <c r="C24" s="6">
        <v>51421.387199999997</v>
      </c>
      <c r="D24" s="6">
        <v>4.5999999999999999E-3</v>
      </c>
      <c r="E24" s="34">
        <f t="shared" si="0"/>
        <v>-1483.9979939651239</v>
      </c>
      <c r="F24" s="34">
        <f t="shared" si="1"/>
        <v>-1484</v>
      </c>
      <c r="G24" s="34">
        <f t="shared" si="2"/>
        <v>1.4587999976356514E-3</v>
      </c>
      <c r="J24" s="34">
        <f t="shared" si="3"/>
        <v>1.4587999976356514E-3</v>
      </c>
      <c r="O24" s="34">
        <f t="shared" ca="1" si="4"/>
        <v>3.3967140518575177E-3</v>
      </c>
      <c r="Q24" s="55">
        <f t="shared" si="5"/>
        <v>36402.887199999997</v>
      </c>
    </row>
    <row r="25" spans="1:21" x14ac:dyDescent="0.2">
      <c r="A25" s="6" t="s">
        <v>46</v>
      </c>
      <c r="B25" s="7" t="s">
        <v>44</v>
      </c>
      <c r="C25" s="6">
        <v>51421.387300000002</v>
      </c>
      <c r="D25" s="6">
        <v>1E-3</v>
      </c>
      <c r="E25" s="1">
        <f t="shared" si="0"/>
        <v>-1483.997856452444</v>
      </c>
      <c r="F25" s="1">
        <f t="shared" si="1"/>
        <v>-1484</v>
      </c>
      <c r="G25" s="1">
        <f t="shared" si="2"/>
        <v>1.5588000023853965E-3</v>
      </c>
      <c r="J25" s="1">
        <f t="shared" si="3"/>
        <v>1.5588000023853965E-3</v>
      </c>
      <c r="O25" s="1">
        <f t="shared" ca="1" si="4"/>
        <v>3.3967140518575177E-3</v>
      </c>
      <c r="Q25" s="33">
        <f t="shared" si="5"/>
        <v>36402.887300000002</v>
      </c>
    </row>
    <row r="26" spans="1:21" x14ac:dyDescent="0.2">
      <c r="A26" s="6" t="s">
        <v>46</v>
      </c>
      <c r="B26" s="7" t="s">
        <v>44</v>
      </c>
      <c r="C26" s="6">
        <v>51421.3874</v>
      </c>
      <c r="D26" s="6">
        <v>2E-3</v>
      </c>
      <c r="E26" s="1">
        <f t="shared" si="0"/>
        <v>-1483.9977189397739</v>
      </c>
      <c r="F26" s="1">
        <f t="shared" si="1"/>
        <v>-1484</v>
      </c>
      <c r="G26" s="1">
        <f t="shared" si="2"/>
        <v>1.658799999859184E-3</v>
      </c>
      <c r="J26" s="1">
        <f t="shared" si="3"/>
        <v>1.658799999859184E-3</v>
      </c>
      <c r="O26" s="1">
        <f t="shared" ca="1" si="4"/>
        <v>3.3967140518575177E-3</v>
      </c>
      <c r="Q26" s="33">
        <f t="shared" si="5"/>
        <v>36402.8874</v>
      </c>
    </row>
    <row r="27" spans="1:21" x14ac:dyDescent="0.2">
      <c r="A27" s="4" t="s">
        <v>47</v>
      </c>
      <c r="B27" s="8" t="s">
        <v>44</v>
      </c>
      <c r="C27" s="4">
        <v>52500.559000000001</v>
      </c>
      <c r="D27" s="9"/>
      <c r="E27" s="1">
        <f t="shared" si="0"/>
        <v>0</v>
      </c>
      <c r="F27" s="1">
        <f t="shared" si="1"/>
        <v>0</v>
      </c>
      <c r="G27" s="1">
        <f t="shared" si="2"/>
        <v>0</v>
      </c>
      <c r="I27" s="1">
        <f>+G27</f>
        <v>0</v>
      </c>
      <c r="O27" s="1">
        <f t="shared" ca="1" si="4"/>
        <v>2.3747777139835648E-4</v>
      </c>
      <c r="Q27" s="33">
        <f t="shared" si="5"/>
        <v>37482.059000000001</v>
      </c>
    </row>
    <row r="28" spans="1:21" x14ac:dyDescent="0.2">
      <c r="A28" s="10" t="s">
        <v>48</v>
      </c>
      <c r="B28" s="11" t="s">
        <v>49</v>
      </c>
      <c r="C28" s="10">
        <v>54344.384299999998</v>
      </c>
      <c r="D28" s="10">
        <v>2.0000000000000001E-4</v>
      </c>
      <c r="E28" s="1">
        <f t="shared" si="0"/>
        <v>2535.4934649164561</v>
      </c>
      <c r="F28" s="1">
        <f t="shared" si="1"/>
        <v>2535.5</v>
      </c>
      <c r="G28" s="1">
        <f t="shared" si="2"/>
        <v>-4.7523500034003519E-3</v>
      </c>
      <c r="K28" s="1">
        <f t="shared" ref="K28:K33" si="6">+G28</f>
        <v>-4.7523500034003519E-3</v>
      </c>
      <c r="O28" s="1">
        <f t="shared" ca="1" si="4"/>
        <v>-5.1602604961920769E-3</v>
      </c>
      <c r="Q28" s="33">
        <f t="shared" si="5"/>
        <v>39325.884299999998</v>
      </c>
    </row>
    <row r="29" spans="1:21" x14ac:dyDescent="0.2">
      <c r="A29" s="10" t="s">
        <v>48</v>
      </c>
      <c r="B29" s="11" t="s">
        <v>44</v>
      </c>
      <c r="C29" s="10">
        <v>54345.472800000003</v>
      </c>
      <c r="D29" s="10">
        <v>2.0000000000000001E-4</v>
      </c>
      <c r="E29" s="1">
        <f t="shared" si="0"/>
        <v>2536.9902903676389</v>
      </c>
      <c r="F29" s="1">
        <f t="shared" si="1"/>
        <v>2537</v>
      </c>
      <c r="G29" s="1">
        <f t="shared" si="2"/>
        <v>-7.0608999958494678E-3</v>
      </c>
      <c r="K29" s="1">
        <f t="shared" si="6"/>
        <v>-7.0608999958494678E-3</v>
      </c>
      <c r="O29" s="1">
        <f t="shared" ca="1" si="4"/>
        <v>-5.163453794319226E-3</v>
      </c>
      <c r="Q29" s="33">
        <f t="shared" si="5"/>
        <v>39326.972800000003</v>
      </c>
    </row>
    <row r="30" spans="1:21" x14ac:dyDescent="0.2">
      <c r="A30" s="6" t="s">
        <v>50</v>
      </c>
      <c r="B30" s="7" t="s">
        <v>44</v>
      </c>
      <c r="C30" s="6">
        <v>55033.408660000001</v>
      </c>
      <c r="D30" s="6">
        <v>2.9999999999999997E-4</v>
      </c>
      <c r="E30" s="1">
        <f t="shared" si="0"/>
        <v>3482.9892834998404</v>
      </c>
      <c r="F30" s="1">
        <f t="shared" si="1"/>
        <v>3483</v>
      </c>
      <c r="G30" s="1">
        <f t="shared" si="2"/>
        <v>-7.7930999977979809E-3</v>
      </c>
      <c r="K30" s="1">
        <f t="shared" si="6"/>
        <v>-7.7930999977979809E-3</v>
      </c>
      <c r="O30" s="1">
        <f t="shared" ca="1" si="4"/>
        <v>-7.1773604798410365E-3</v>
      </c>
      <c r="Q30" s="33">
        <f t="shared" si="5"/>
        <v>40014.908660000001</v>
      </c>
    </row>
    <row r="31" spans="1:21" x14ac:dyDescent="0.2">
      <c r="A31" s="6" t="s">
        <v>50</v>
      </c>
      <c r="B31" s="7" t="s">
        <v>44</v>
      </c>
      <c r="C31" s="6">
        <v>55446.464820000001</v>
      </c>
      <c r="D31" s="6">
        <v>2.2000000000000001E-4</v>
      </c>
      <c r="E31" s="1">
        <f t="shared" si="0"/>
        <v>4050.9938522209054</v>
      </c>
      <c r="F31" s="1">
        <f t="shared" si="1"/>
        <v>4051</v>
      </c>
      <c r="G31" s="1">
        <f t="shared" si="2"/>
        <v>-4.4706999979098327E-3</v>
      </c>
      <c r="K31" s="1">
        <f t="shared" si="6"/>
        <v>-4.4706999979098327E-3</v>
      </c>
      <c r="O31" s="1">
        <f t="shared" ca="1" si="4"/>
        <v>-8.3865560373213629E-3</v>
      </c>
      <c r="Q31" s="33">
        <f t="shared" si="5"/>
        <v>40427.964820000001</v>
      </c>
    </row>
    <row r="32" spans="1:21" x14ac:dyDescent="0.2">
      <c r="A32" s="6" t="s">
        <v>50</v>
      </c>
      <c r="B32" s="7" t="s">
        <v>44</v>
      </c>
      <c r="C32" s="6">
        <v>55806.428260000001</v>
      </c>
      <c r="D32" s="6">
        <v>6.8999999999999997E-4</v>
      </c>
      <c r="E32" s="1">
        <f t="shared" si="0"/>
        <v>4545.98920222985</v>
      </c>
      <c r="F32" s="1">
        <f t="shared" si="1"/>
        <v>4546</v>
      </c>
      <c r="G32" s="1">
        <f t="shared" si="2"/>
        <v>-7.852199996705167E-3</v>
      </c>
      <c r="K32" s="1">
        <f t="shared" si="6"/>
        <v>-7.852199996705167E-3</v>
      </c>
      <c r="O32" s="1">
        <f t="shared" ca="1" si="4"/>
        <v>-9.4403444192804487E-3</v>
      </c>
      <c r="Q32" s="33">
        <f t="shared" si="5"/>
        <v>40787.928260000001</v>
      </c>
    </row>
    <row r="33" spans="1:21" x14ac:dyDescent="0.2">
      <c r="A33" s="4" t="s">
        <v>51</v>
      </c>
      <c r="B33" s="8" t="s">
        <v>44</v>
      </c>
      <c r="C33" s="4">
        <v>56499.452190000004</v>
      </c>
      <c r="D33" s="4">
        <v>2.3E-3</v>
      </c>
      <c r="E33" s="1">
        <f t="shared" si="0"/>
        <v>5498.9849364492093</v>
      </c>
      <c r="F33" s="1">
        <f t="shared" si="1"/>
        <v>5499</v>
      </c>
      <c r="G33" s="1">
        <f t="shared" si="2"/>
        <v>-1.0954299999866635E-2</v>
      </c>
      <c r="K33" s="1">
        <f t="shared" si="6"/>
        <v>-1.0954299999866635E-2</v>
      </c>
      <c r="O33" s="1">
        <f t="shared" ca="1" si="4"/>
        <v>-1.1469153162728953E-2</v>
      </c>
      <c r="Q33" s="33">
        <f t="shared" si="5"/>
        <v>41480.952190000004</v>
      </c>
    </row>
    <row r="34" spans="1:21" x14ac:dyDescent="0.2">
      <c r="A34" s="12" t="s">
        <v>52</v>
      </c>
      <c r="B34" s="13" t="s">
        <v>44</v>
      </c>
      <c r="C34" s="14">
        <v>57624.448360000002</v>
      </c>
      <c r="D34" s="14">
        <v>1.9E-3</v>
      </c>
      <c r="E34" s="1">
        <f>+(C34-C$7)/C$8</f>
        <v>7045.9972467212528</v>
      </c>
      <c r="F34" s="1">
        <f t="shared" si="1"/>
        <v>7046</v>
      </c>
      <c r="G34" s="1">
        <f>+C34-(C$7+F34*C$8)</f>
        <v>-2.0022000026074238E-3</v>
      </c>
      <c r="K34" s="1">
        <f>+G34</f>
        <v>-2.0022000026074238E-3</v>
      </c>
      <c r="O34" s="1">
        <f ca="1">+C$11+C$12*$F34</f>
        <v>-1.4762507964528363E-2</v>
      </c>
      <c r="Q34" s="33">
        <f>+C34-15018.5</f>
        <v>42605.948360000002</v>
      </c>
      <c r="U34" s="1">
        <f>+C34-(C$7+F34*C$8)</f>
        <v>-2.0022000026074238E-3</v>
      </c>
    </row>
    <row r="35" spans="1:21" x14ac:dyDescent="0.2">
      <c r="A35" s="15" t="s">
        <v>53</v>
      </c>
      <c r="B35" s="16" t="s">
        <v>44</v>
      </c>
      <c r="C35" s="17">
        <v>58064.406000000003</v>
      </c>
      <c r="D35" s="17">
        <v>7.0000000000000001E-3</v>
      </c>
      <c r="E35" s="1">
        <f>+(C35-C$7)/C$8</f>
        <v>7650.9947598045528</v>
      </c>
      <c r="F35" s="1">
        <f t="shared" si="1"/>
        <v>7651</v>
      </c>
      <c r="G35" s="1">
        <f>+C35-(C$7+F35*C$8)</f>
        <v>-3.8107000000309199E-3</v>
      </c>
      <c r="K35" s="1">
        <f>+G35</f>
        <v>-3.8107000000309199E-3</v>
      </c>
      <c r="O35" s="1">
        <f ca="1">+C$11+C$12*$F35</f>
        <v>-1.6050471542478358E-2</v>
      </c>
      <c r="Q35" s="33">
        <f>+C35-15018.5</f>
        <v>43045.906000000003</v>
      </c>
    </row>
    <row r="36" spans="1:21" x14ac:dyDescent="0.2">
      <c r="A36" s="18" t="s">
        <v>54</v>
      </c>
      <c r="B36" s="19" t="s">
        <v>44</v>
      </c>
      <c r="C36" s="20">
        <v>59147.911</v>
      </c>
      <c r="D36" s="20" t="s">
        <v>55</v>
      </c>
      <c r="E36" s="1">
        <f>+(C36-C$7)/C$8</f>
        <v>9140.9514529382814</v>
      </c>
      <c r="F36" s="1">
        <f>ROUND(2*E36,0)/2</f>
        <v>9141</v>
      </c>
      <c r="G36" s="1">
        <f>+C36-(C$7+F36*C$8)</f>
        <v>-3.5303700002259575E-2</v>
      </c>
      <c r="K36" s="1">
        <f>+G36</f>
        <v>-3.5303700002259575E-2</v>
      </c>
      <c r="O36" s="1">
        <f ca="1">+C$11+C$12*$F36</f>
        <v>-1.9222481015446116E-2</v>
      </c>
      <c r="Q36" s="33">
        <f>+C36-15018.5</f>
        <v>44129.411</v>
      </c>
    </row>
    <row r="37" spans="1:21" x14ac:dyDescent="0.2">
      <c r="A37" s="18" t="s">
        <v>54</v>
      </c>
      <c r="B37" s="19" t="s">
        <v>44</v>
      </c>
      <c r="C37" s="20">
        <v>59147.92</v>
      </c>
      <c r="D37" s="20" t="s">
        <v>56</v>
      </c>
      <c r="E37" s="1">
        <f>+(C37-C$7)/C$8</f>
        <v>9140.9638290788935</v>
      </c>
      <c r="F37" s="1">
        <f>ROUND(2*E37,0)/2</f>
        <v>9141</v>
      </c>
      <c r="G37" s="1">
        <f>+C37-(C$7+F37*C$8)</f>
        <v>-2.6303700004064012E-2</v>
      </c>
      <c r="K37" s="1">
        <f>+G37</f>
        <v>-2.6303700004064012E-2</v>
      </c>
      <c r="O37" s="1">
        <f ca="1">+C$11+C$12*$F37</f>
        <v>-1.9222481015446116E-2</v>
      </c>
      <c r="Q37" s="33">
        <f>+C37-15018.5</f>
        <v>44129.42</v>
      </c>
    </row>
    <row r="38" spans="1:21" x14ac:dyDescent="0.2">
      <c r="Q38" s="33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0" sqref="A20"/>
    </sheetView>
  </sheetViews>
  <sheetFormatPr defaultRowHeight="12.75" x14ac:dyDescent="0.2"/>
  <cols>
    <col min="1" max="1" width="19.7109375" style="5" customWidth="1"/>
    <col min="2" max="2" width="4.42578125" customWidth="1"/>
    <col min="3" max="3" width="12.7109375" style="5" customWidth="1"/>
    <col min="4" max="4" width="5.42578125" customWidth="1"/>
    <col min="5" max="5" width="14.85546875" customWidth="1"/>
    <col min="7" max="7" width="12" customWidth="1"/>
    <col min="8" max="8" width="14.140625" style="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1" t="s">
        <v>57</v>
      </c>
      <c r="I1" s="22" t="s">
        <v>58</v>
      </c>
      <c r="J1" s="23" t="s">
        <v>35</v>
      </c>
    </row>
    <row r="2" spans="1:16" x14ac:dyDescent="0.2">
      <c r="I2" s="24" t="s">
        <v>59</v>
      </c>
      <c r="J2" s="25" t="s">
        <v>34</v>
      </c>
    </row>
    <row r="3" spans="1:16" x14ac:dyDescent="0.2">
      <c r="A3" s="26" t="s">
        <v>60</v>
      </c>
      <c r="I3" s="24" t="s">
        <v>61</v>
      </c>
      <c r="J3" s="25" t="s">
        <v>32</v>
      </c>
    </row>
    <row r="4" spans="1:16" x14ac:dyDescent="0.2">
      <c r="I4" s="24" t="s">
        <v>62</v>
      </c>
      <c r="J4" s="25" t="s">
        <v>32</v>
      </c>
    </row>
    <row r="5" spans="1:16" x14ac:dyDescent="0.2">
      <c r="I5" s="27" t="s">
        <v>63</v>
      </c>
      <c r="J5" s="28" t="s">
        <v>33</v>
      </c>
    </row>
    <row r="11" spans="1:16" ht="12.75" customHeight="1" x14ac:dyDescent="0.2">
      <c r="A11" s="5" t="str">
        <f t="shared" ref="A11:A22" si="0">P11</f>
        <v>IBVS 4855 </v>
      </c>
      <c r="B11" s="3" t="str">
        <f t="shared" ref="B11:B22" si="1">IF(H11=INT(H11),"I","II")</f>
        <v>I</v>
      </c>
      <c r="C11" s="5">
        <f t="shared" ref="C11:C22" si="2">1*G11</f>
        <v>51421.387199999997</v>
      </c>
      <c r="D11" t="str">
        <f t="shared" ref="D11:D22" si="3">VLOOKUP(F11,I$1:J$5,2,FALSE)</f>
        <v>vis</v>
      </c>
      <c r="E11">
        <f>VLOOKUP(C11,Active!C$21:E$973,3,FALSE)</f>
        <v>-1483.9979939651239</v>
      </c>
      <c r="F11" s="3" t="s">
        <v>63</v>
      </c>
      <c r="G11" t="str">
        <f t="shared" ref="G11:G22" si="4">MID(I11,3,LEN(I11)-3)</f>
        <v>51421.3872</v>
      </c>
      <c r="H11" s="5">
        <f t="shared" ref="H11:H22" si="5">1*K11</f>
        <v>-1484</v>
      </c>
      <c r="I11" s="29" t="s">
        <v>64</v>
      </c>
      <c r="J11" s="30" t="s">
        <v>65</v>
      </c>
      <c r="K11" s="29">
        <v>-1484</v>
      </c>
      <c r="L11" s="29" t="s">
        <v>66</v>
      </c>
      <c r="M11" s="30" t="s">
        <v>67</v>
      </c>
      <c r="N11" s="30" t="s">
        <v>68</v>
      </c>
      <c r="O11" s="31" t="s">
        <v>69</v>
      </c>
      <c r="P11" s="32" t="s">
        <v>70</v>
      </c>
    </row>
    <row r="12" spans="1:16" ht="12.75" customHeight="1" x14ac:dyDescent="0.2">
      <c r="A12" s="5" t="str">
        <f t="shared" si="0"/>
        <v>IBVS 4855 </v>
      </c>
      <c r="B12" s="3" t="str">
        <f t="shared" si="1"/>
        <v>I</v>
      </c>
      <c r="C12" s="5">
        <f t="shared" si="2"/>
        <v>51421.387300000002</v>
      </c>
      <c r="D12" t="str">
        <f t="shared" si="3"/>
        <v>vis</v>
      </c>
      <c r="E12">
        <f>VLOOKUP(C12,Active!C$21:E$973,3,FALSE)</f>
        <v>-1483.997856452444</v>
      </c>
      <c r="F12" s="3" t="s">
        <v>63</v>
      </c>
      <c r="G12" t="str">
        <f t="shared" si="4"/>
        <v>51421.3873</v>
      </c>
      <c r="H12" s="5">
        <f t="shared" si="5"/>
        <v>-1484</v>
      </c>
      <c r="I12" s="29" t="s">
        <v>71</v>
      </c>
      <c r="J12" s="30" t="s">
        <v>65</v>
      </c>
      <c r="K12" s="29">
        <v>-1484</v>
      </c>
      <c r="L12" s="29" t="s">
        <v>72</v>
      </c>
      <c r="M12" s="30" t="s">
        <v>67</v>
      </c>
      <c r="N12" s="30" t="s">
        <v>73</v>
      </c>
      <c r="O12" s="31" t="s">
        <v>69</v>
      </c>
      <c r="P12" s="32" t="s">
        <v>70</v>
      </c>
    </row>
    <row r="13" spans="1:16" ht="12.75" customHeight="1" x14ac:dyDescent="0.2">
      <c r="A13" s="5" t="str">
        <f t="shared" si="0"/>
        <v>IBVS 4855 </v>
      </c>
      <c r="B13" s="3" t="str">
        <f t="shared" si="1"/>
        <v>I</v>
      </c>
      <c r="C13" s="5">
        <f t="shared" si="2"/>
        <v>51421.3874</v>
      </c>
      <c r="D13" t="str">
        <f t="shared" si="3"/>
        <v>vis</v>
      </c>
      <c r="E13">
        <f>VLOOKUP(C13,Active!C$21:E$973,3,FALSE)</f>
        <v>-1483.9977189397739</v>
      </c>
      <c r="F13" s="3" t="s">
        <v>63</v>
      </c>
      <c r="G13" t="str">
        <f t="shared" si="4"/>
        <v>51421.3874</v>
      </c>
      <c r="H13" s="5">
        <f t="shared" si="5"/>
        <v>-1484</v>
      </c>
      <c r="I13" s="29" t="s">
        <v>74</v>
      </c>
      <c r="J13" s="30" t="s">
        <v>65</v>
      </c>
      <c r="K13" s="29">
        <v>-1484</v>
      </c>
      <c r="L13" s="29" t="s">
        <v>75</v>
      </c>
      <c r="M13" s="30" t="s">
        <v>67</v>
      </c>
      <c r="N13" s="30" t="s">
        <v>76</v>
      </c>
      <c r="O13" s="31" t="s">
        <v>69</v>
      </c>
      <c r="P13" s="32" t="s">
        <v>70</v>
      </c>
    </row>
    <row r="14" spans="1:16" ht="12.75" customHeight="1" x14ac:dyDescent="0.2">
      <c r="A14" s="5" t="str">
        <f t="shared" si="0"/>
        <v>IBVS 5897 </v>
      </c>
      <c r="B14" s="3" t="str">
        <f t="shared" si="1"/>
        <v>II</v>
      </c>
      <c r="C14" s="5">
        <f t="shared" si="2"/>
        <v>54344.384299999998</v>
      </c>
      <c r="D14" t="str">
        <f t="shared" si="3"/>
        <v>vis</v>
      </c>
      <c r="E14">
        <f>VLOOKUP(C14,Active!C$21:E$973,3,FALSE)</f>
        <v>2535.4934649164561</v>
      </c>
      <c r="F14" s="3" t="s">
        <v>63</v>
      </c>
      <c r="G14" t="str">
        <f t="shared" si="4"/>
        <v>54344.3843</v>
      </c>
      <c r="H14" s="5">
        <f t="shared" si="5"/>
        <v>2535.5</v>
      </c>
      <c r="I14" s="29" t="s">
        <v>77</v>
      </c>
      <c r="J14" s="30" t="s">
        <v>78</v>
      </c>
      <c r="K14" s="29">
        <v>2535.5</v>
      </c>
      <c r="L14" s="29" t="s">
        <v>79</v>
      </c>
      <c r="M14" s="30" t="s">
        <v>80</v>
      </c>
      <c r="N14" s="30" t="s">
        <v>81</v>
      </c>
      <c r="O14" s="31" t="s">
        <v>82</v>
      </c>
      <c r="P14" s="32" t="s">
        <v>83</v>
      </c>
    </row>
    <row r="15" spans="1:16" ht="12.75" customHeight="1" x14ac:dyDescent="0.2">
      <c r="A15" s="5" t="str">
        <f t="shared" si="0"/>
        <v>IBVS 5897 </v>
      </c>
      <c r="B15" s="3" t="str">
        <f t="shared" si="1"/>
        <v>I</v>
      </c>
      <c r="C15" s="5">
        <f t="shared" si="2"/>
        <v>54345.472800000003</v>
      </c>
      <c r="D15" t="str">
        <f t="shared" si="3"/>
        <v>vis</v>
      </c>
      <c r="E15">
        <f>VLOOKUP(C15,Active!C$21:E$973,3,FALSE)</f>
        <v>2536.9902903676389</v>
      </c>
      <c r="F15" s="3" t="s">
        <v>63</v>
      </c>
      <c r="G15" t="str">
        <f t="shared" si="4"/>
        <v>54345.4728</v>
      </c>
      <c r="H15" s="5">
        <f t="shared" si="5"/>
        <v>2537</v>
      </c>
      <c r="I15" s="29" t="s">
        <v>84</v>
      </c>
      <c r="J15" s="30" t="s">
        <v>85</v>
      </c>
      <c r="K15" s="29">
        <v>2537</v>
      </c>
      <c r="L15" s="29" t="s">
        <v>86</v>
      </c>
      <c r="M15" s="30" t="s">
        <v>80</v>
      </c>
      <c r="N15" s="30" t="s">
        <v>81</v>
      </c>
      <c r="O15" s="31" t="s">
        <v>82</v>
      </c>
      <c r="P15" s="32" t="s">
        <v>83</v>
      </c>
    </row>
    <row r="16" spans="1:16" ht="12.75" customHeight="1" x14ac:dyDescent="0.2">
      <c r="A16" s="5" t="str">
        <f t="shared" si="0"/>
        <v>IBVS 6007 </v>
      </c>
      <c r="B16" s="3" t="str">
        <f t="shared" si="1"/>
        <v>I</v>
      </c>
      <c r="C16" s="5">
        <f t="shared" si="2"/>
        <v>55033.408660000001</v>
      </c>
      <c r="D16" t="str">
        <f t="shared" si="3"/>
        <v>vis</v>
      </c>
      <c r="E16">
        <f>VLOOKUP(C16,Active!C$21:E$973,3,FALSE)</f>
        <v>3482.9892834998404</v>
      </c>
      <c r="F16" s="3" t="s">
        <v>63</v>
      </c>
      <c r="G16" t="str">
        <f t="shared" si="4"/>
        <v>55033.40866</v>
      </c>
      <c r="H16" s="5">
        <f t="shared" si="5"/>
        <v>3483</v>
      </c>
      <c r="I16" s="29" t="s">
        <v>87</v>
      </c>
      <c r="J16" s="30" t="s">
        <v>88</v>
      </c>
      <c r="K16" s="29">
        <v>3483</v>
      </c>
      <c r="L16" s="29" t="s">
        <v>89</v>
      </c>
      <c r="M16" s="30" t="s">
        <v>80</v>
      </c>
      <c r="N16" s="30" t="s">
        <v>76</v>
      </c>
      <c r="O16" s="31" t="s">
        <v>90</v>
      </c>
      <c r="P16" s="32" t="s">
        <v>91</v>
      </c>
    </row>
    <row r="17" spans="1:16" ht="12.75" customHeight="1" x14ac:dyDescent="0.2">
      <c r="A17" s="5" t="str">
        <f t="shared" si="0"/>
        <v>IBVS 6007 </v>
      </c>
      <c r="B17" s="3" t="str">
        <f t="shared" si="1"/>
        <v>I</v>
      </c>
      <c r="C17" s="5">
        <f t="shared" si="2"/>
        <v>55446.464820000001</v>
      </c>
      <c r="D17" t="str">
        <f t="shared" si="3"/>
        <v>vis</v>
      </c>
      <c r="E17">
        <f>VLOOKUP(C17,Active!C$21:E$973,3,FALSE)</f>
        <v>4050.9938522209054</v>
      </c>
      <c r="F17" s="3" t="s">
        <v>63</v>
      </c>
      <c r="G17" t="str">
        <f t="shared" si="4"/>
        <v>55446.46482</v>
      </c>
      <c r="H17" s="5">
        <f t="shared" si="5"/>
        <v>4051</v>
      </c>
      <c r="I17" s="29" t="s">
        <v>92</v>
      </c>
      <c r="J17" s="30" t="s">
        <v>93</v>
      </c>
      <c r="K17" s="29">
        <v>4051</v>
      </c>
      <c r="L17" s="29" t="s">
        <v>94</v>
      </c>
      <c r="M17" s="30" t="s">
        <v>80</v>
      </c>
      <c r="N17" s="30" t="s">
        <v>58</v>
      </c>
      <c r="O17" s="31" t="s">
        <v>90</v>
      </c>
      <c r="P17" s="32" t="s">
        <v>91</v>
      </c>
    </row>
    <row r="18" spans="1:16" ht="12.75" customHeight="1" x14ac:dyDescent="0.2">
      <c r="A18" s="5" t="str">
        <f t="shared" si="0"/>
        <v>IBVS 6007 </v>
      </c>
      <c r="B18" s="3" t="str">
        <f t="shared" si="1"/>
        <v>I</v>
      </c>
      <c r="C18" s="5">
        <f t="shared" si="2"/>
        <v>55806.428260000001</v>
      </c>
      <c r="D18" t="str">
        <f t="shared" si="3"/>
        <v>vis</v>
      </c>
      <c r="E18">
        <f>VLOOKUP(C18,Active!C$21:E$973,3,FALSE)</f>
        <v>4545.98920222985</v>
      </c>
      <c r="F18" s="3" t="s">
        <v>63</v>
      </c>
      <c r="G18" t="str">
        <f t="shared" si="4"/>
        <v>55806.42826</v>
      </c>
      <c r="H18" s="5">
        <f t="shared" si="5"/>
        <v>4546</v>
      </c>
      <c r="I18" s="29" t="s">
        <v>95</v>
      </c>
      <c r="J18" s="30" t="s">
        <v>96</v>
      </c>
      <c r="K18" s="29">
        <v>4546</v>
      </c>
      <c r="L18" s="29" t="s">
        <v>97</v>
      </c>
      <c r="M18" s="30" t="s">
        <v>80</v>
      </c>
      <c r="N18" s="30" t="s">
        <v>58</v>
      </c>
      <c r="O18" s="31" t="s">
        <v>90</v>
      </c>
      <c r="P18" s="32" t="s">
        <v>91</v>
      </c>
    </row>
    <row r="19" spans="1:16" ht="12.75" customHeight="1" x14ac:dyDescent="0.2">
      <c r="A19" s="5" t="str">
        <f t="shared" si="0"/>
        <v>IBVS 6114 </v>
      </c>
      <c r="B19" s="3" t="str">
        <f t="shared" si="1"/>
        <v>I</v>
      </c>
      <c r="C19" s="5">
        <f t="shared" si="2"/>
        <v>56499.452190000004</v>
      </c>
      <c r="D19" t="str">
        <f t="shared" si="3"/>
        <v>vis</v>
      </c>
      <c r="E19">
        <f>VLOOKUP(C19,Active!C$21:E$973,3,FALSE)</f>
        <v>5498.9849364492093</v>
      </c>
      <c r="F19" s="3" t="s">
        <v>63</v>
      </c>
      <c r="G19" t="str">
        <f t="shared" si="4"/>
        <v>56499.45219</v>
      </c>
      <c r="H19" s="5">
        <f t="shared" si="5"/>
        <v>5499</v>
      </c>
      <c r="I19" s="29" t="s">
        <v>98</v>
      </c>
      <c r="J19" s="30" t="s">
        <v>99</v>
      </c>
      <c r="K19" s="29">
        <v>5499</v>
      </c>
      <c r="L19" s="29" t="s">
        <v>100</v>
      </c>
      <c r="M19" s="30" t="s">
        <v>80</v>
      </c>
      <c r="N19" s="30" t="s">
        <v>58</v>
      </c>
      <c r="O19" s="31" t="s">
        <v>90</v>
      </c>
      <c r="P19" s="32" t="s">
        <v>101</v>
      </c>
    </row>
    <row r="20" spans="1:16" ht="12.75" customHeight="1" x14ac:dyDescent="0.2">
      <c r="A20" s="5" t="str">
        <f t="shared" si="0"/>
        <v>IBVS 3160 </v>
      </c>
      <c r="B20" s="3" t="str">
        <f t="shared" si="1"/>
        <v>I</v>
      </c>
      <c r="C20" s="5">
        <f t="shared" si="2"/>
        <v>46731.633900000001</v>
      </c>
      <c r="D20" t="str">
        <f t="shared" si="3"/>
        <v>vis</v>
      </c>
      <c r="E20">
        <f>VLOOKUP(C20,Active!C$21:E$973,3,FALSE)</f>
        <v>-7933.0031379016982</v>
      </c>
      <c r="F20" s="3" t="s">
        <v>63</v>
      </c>
      <c r="G20" t="str">
        <f t="shared" si="4"/>
        <v>46731.6339</v>
      </c>
      <c r="H20" s="5">
        <f t="shared" si="5"/>
        <v>-2382</v>
      </c>
      <c r="I20" s="29" t="s">
        <v>102</v>
      </c>
      <c r="J20" s="30" t="s">
        <v>103</v>
      </c>
      <c r="K20" s="29">
        <v>-2382</v>
      </c>
      <c r="L20" s="29" t="s">
        <v>104</v>
      </c>
      <c r="M20" s="30" t="s">
        <v>67</v>
      </c>
      <c r="N20" s="30" t="s">
        <v>105</v>
      </c>
      <c r="O20" s="31" t="s">
        <v>106</v>
      </c>
      <c r="P20" s="32" t="s">
        <v>43</v>
      </c>
    </row>
    <row r="21" spans="1:16" ht="12.75" customHeight="1" x14ac:dyDescent="0.2">
      <c r="A21" s="5" t="str">
        <f t="shared" si="0"/>
        <v>IBVS 3160 </v>
      </c>
      <c r="B21" s="3" t="str">
        <f t="shared" si="1"/>
        <v>I</v>
      </c>
      <c r="C21" s="5">
        <f t="shared" si="2"/>
        <v>47064.695299999999</v>
      </c>
      <c r="D21" t="str">
        <f t="shared" si="3"/>
        <v>vis</v>
      </c>
      <c r="E21">
        <f>VLOOKUP(C21,Active!C$21:E$973,3,FALSE)</f>
        <v>-7475.0015023259612</v>
      </c>
      <c r="F21" s="3" t="s">
        <v>63</v>
      </c>
      <c r="G21" t="str">
        <f t="shared" si="4"/>
        <v>47064.6953</v>
      </c>
      <c r="H21" s="5">
        <f t="shared" si="5"/>
        <v>-1924</v>
      </c>
      <c r="I21" s="29" t="s">
        <v>107</v>
      </c>
      <c r="J21" s="30" t="s">
        <v>108</v>
      </c>
      <c r="K21" s="29">
        <v>-1924</v>
      </c>
      <c r="L21" s="29" t="s">
        <v>109</v>
      </c>
      <c r="M21" s="30" t="s">
        <v>67</v>
      </c>
      <c r="N21" s="30" t="s">
        <v>105</v>
      </c>
      <c r="O21" s="31" t="s">
        <v>106</v>
      </c>
      <c r="P21" s="32" t="s">
        <v>43</v>
      </c>
    </row>
    <row r="22" spans="1:16" ht="12.75" customHeight="1" x14ac:dyDescent="0.2">
      <c r="A22" s="5" t="str">
        <f t="shared" si="0"/>
        <v>IBVS 3355 </v>
      </c>
      <c r="B22" s="3" t="str">
        <f t="shared" si="1"/>
        <v>I</v>
      </c>
      <c r="C22" s="5">
        <f t="shared" si="2"/>
        <v>47385.395400000001</v>
      </c>
      <c r="D22" t="str">
        <f t="shared" si="3"/>
        <v>vis</v>
      </c>
      <c r="E22">
        <f>VLOOKUP(C22,Active!C$21:E$973,3,FALSE)</f>
        <v>-7033.9982208610299</v>
      </c>
      <c r="F22" s="3" t="s">
        <v>63</v>
      </c>
      <c r="G22" t="str">
        <f t="shared" si="4"/>
        <v>47385.3954</v>
      </c>
      <c r="H22" s="5">
        <f t="shared" si="5"/>
        <v>-1483</v>
      </c>
      <c r="I22" s="29" t="s">
        <v>110</v>
      </c>
      <c r="J22" s="30" t="s">
        <v>111</v>
      </c>
      <c r="K22" s="29">
        <v>-1483</v>
      </c>
      <c r="L22" s="29" t="s">
        <v>112</v>
      </c>
      <c r="M22" s="30" t="s">
        <v>67</v>
      </c>
      <c r="N22" s="30" t="s">
        <v>105</v>
      </c>
      <c r="O22" s="31" t="s">
        <v>113</v>
      </c>
      <c r="P22" s="32" t="s">
        <v>45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2024-03-02T05:14:37Z</dcterms:created>
  <dcterms:modified xsi:type="dcterms:W3CDTF">2024-03-02T05:14:37Z</dcterms:modified>
</cp:coreProperties>
</file>