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2F7E486-AB90-4E45-9AF8-B6678860B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95" i="1" l="1"/>
  <c r="F95" i="1" s="1"/>
  <c r="G95" i="1" s="1"/>
  <c r="K95" i="1" s="1"/>
  <c r="Q95" i="1"/>
  <c r="E96" i="1"/>
  <c r="F96" i="1"/>
  <c r="G96" i="1" s="1"/>
  <c r="K96" i="1" s="1"/>
  <c r="Q96" i="1"/>
  <c r="F14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0" i="1"/>
  <c r="F90" i="1" s="1"/>
  <c r="G90" i="1" s="1"/>
  <c r="K90" i="1" s="1"/>
  <c r="Q90" i="1"/>
  <c r="E91" i="1"/>
  <c r="F91" i="1" s="1"/>
  <c r="G91" i="1" s="1"/>
  <c r="K91" i="1" s="1"/>
  <c r="Q91" i="1"/>
  <c r="E88" i="1"/>
  <c r="F88" i="1"/>
  <c r="G88" i="1" s="1"/>
  <c r="K88" i="1" s="1"/>
  <c r="Q88" i="1"/>
  <c r="E89" i="1"/>
  <c r="F89" i="1" s="1"/>
  <c r="G89" i="1" s="1"/>
  <c r="K89" i="1" s="1"/>
  <c r="Q89" i="1"/>
  <c r="C9" i="1"/>
  <c r="D9" i="1"/>
  <c r="C17" i="1"/>
  <c r="E21" i="1"/>
  <c r="F21" i="1" s="1"/>
  <c r="G21" i="1" s="1"/>
  <c r="J21" i="1" s="1"/>
  <c r="Q21" i="1"/>
  <c r="E22" i="1"/>
  <c r="F22" i="1" s="1"/>
  <c r="G22" i="1" s="1"/>
  <c r="J22" i="1" s="1"/>
  <c r="Q22" i="1"/>
  <c r="E23" i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I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E17" i="2" s="1"/>
  <c r="Q29" i="1"/>
  <c r="E30" i="1"/>
  <c r="F30" i="1" s="1"/>
  <c r="G30" i="1" s="1"/>
  <c r="J30" i="1" s="1"/>
  <c r="Q30" i="1"/>
  <c r="E31" i="1"/>
  <c r="F31" i="1" s="1"/>
  <c r="G31" i="1" s="1"/>
  <c r="K31" i="1" s="1"/>
  <c r="Q31" i="1"/>
  <c r="E32" i="1"/>
  <c r="F32" i="1" s="1"/>
  <c r="U32" i="1" s="1"/>
  <c r="Q32" i="1"/>
  <c r="E33" i="1"/>
  <c r="F33" i="1" s="1"/>
  <c r="G33" i="1" s="1"/>
  <c r="K33" i="1" s="1"/>
  <c r="Q33" i="1"/>
  <c r="E34" i="1"/>
  <c r="F34" i="1" s="1"/>
  <c r="G34" i="1" s="1"/>
  <c r="J34" i="1" s="1"/>
  <c r="Q34" i="1"/>
  <c r="E35" i="1"/>
  <c r="F35" i="1" s="1"/>
  <c r="G35" i="1" s="1"/>
  <c r="K35" i="1" s="1"/>
  <c r="Q35" i="1"/>
  <c r="E36" i="1"/>
  <c r="F36" i="1" s="1"/>
  <c r="G36" i="1" s="1"/>
  <c r="J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J40" i="1" s="1"/>
  <c r="Q40" i="1"/>
  <c r="E41" i="1"/>
  <c r="E27" i="2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K45" i="1" s="1"/>
  <c r="Q45" i="1"/>
  <c r="E46" i="1"/>
  <c r="E31" i="2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E34" i="2" s="1"/>
  <c r="Q49" i="1"/>
  <c r="E50" i="1"/>
  <c r="F50" i="1" s="1"/>
  <c r="G50" i="1" s="1"/>
  <c r="K50" i="1" s="1"/>
  <c r="Q50" i="1"/>
  <c r="E51" i="1"/>
  <c r="F51" i="1" s="1"/>
  <c r="G51" i="1" s="1"/>
  <c r="J51" i="1" s="1"/>
  <c r="Q51" i="1"/>
  <c r="E52" i="1"/>
  <c r="F52" i="1" s="1"/>
  <c r="G52" i="1" s="1"/>
  <c r="K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E44" i="2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E47" i="2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E49" i="2" s="1"/>
  <c r="Q68" i="1"/>
  <c r="E69" i="1"/>
  <c r="F69" i="1" s="1"/>
  <c r="G69" i="1" s="1"/>
  <c r="K69" i="1" s="1"/>
  <c r="Q69" i="1"/>
  <c r="E70" i="1"/>
  <c r="E62" i="2" s="1"/>
  <c r="Q70" i="1"/>
  <c r="E71" i="1"/>
  <c r="F71" i="1" s="1"/>
  <c r="G71" i="1" s="1"/>
  <c r="K71" i="1" s="1"/>
  <c r="Q71" i="1"/>
  <c r="E72" i="1"/>
  <c r="F72" i="1" s="1"/>
  <c r="U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2" i="1"/>
  <c r="F82" i="1" s="1"/>
  <c r="G82" i="1" s="1"/>
  <c r="K82" i="1" s="1"/>
  <c r="Q82" i="1"/>
  <c r="E83" i="1"/>
  <c r="F83" i="1" s="1"/>
  <c r="G83" i="1" s="1"/>
  <c r="K83" i="1" s="1"/>
  <c r="Q83" i="1"/>
  <c r="C18" i="3"/>
  <c r="E21" i="3"/>
  <c r="F21" i="3"/>
  <c r="G21" i="3"/>
  <c r="Q21" i="3"/>
  <c r="E22" i="3"/>
  <c r="F22" i="3"/>
  <c r="G22" i="3"/>
  <c r="I22" i="3"/>
  <c r="Q22" i="3"/>
  <c r="E23" i="3"/>
  <c r="F23" i="3"/>
  <c r="G23" i="3"/>
  <c r="K23" i="3"/>
  <c r="Q23" i="3"/>
  <c r="E24" i="3"/>
  <c r="F24" i="3"/>
  <c r="G24" i="3"/>
  <c r="J24" i="3"/>
  <c r="Q24" i="3"/>
  <c r="E25" i="3"/>
  <c r="F25" i="3"/>
  <c r="G25" i="3"/>
  <c r="J25" i="3"/>
  <c r="Q25" i="3"/>
  <c r="E26" i="3"/>
  <c r="F26" i="3"/>
  <c r="G26" i="3"/>
  <c r="K26" i="3"/>
  <c r="Q26" i="3"/>
  <c r="A11" i="2"/>
  <c r="B11" i="2"/>
  <c r="C11" i="2"/>
  <c r="D11" i="2"/>
  <c r="G11" i="2"/>
  <c r="H11" i="2"/>
  <c r="A12" i="2"/>
  <c r="B12" i="2"/>
  <c r="C12" i="2"/>
  <c r="E12" i="2"/>
  <c r="D12" i="2"/>
  <c r="G12" i="2"/>
  <c r="H12" i="2"/>
  <c r="A13" i="2"/>
  <c r="B13" i="2"/>
  <c r="C13" i="2"/>
  <c r="D13" i="2"/>
  <c r="G13" i="2"/>
  <c r="H13" i="2"/>
  <c r="A14" i="2"/>
  <c r="C14" i="2"/>
  <c r="D14" i="2"/>
  <c r="E14" i="2"/>
  <c r="G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E18" i="2"/>
  <c r="G18" i="2"/>
  <c r="H18" i="2"/>
  <c r="B18" i="2"/>
  <c r="A19" i="2"/>
  <c r="B19" i="2"/>
  <c r="C19" i="2"/>
  <c r="E19" i="2"/>
  <c r="D19" i="2"/>
  <c r="G19" i="2"/>
  <c r="H19" i="2"/>
  <c r="A20" i="2"/>
  <c r="B20" i="2"/>
  <c r="C20" i="2"/>
  <c r="D20" i="2"/>
  <c r="G20" i="2"/>
  <c r="H20" i="2"/>
  <c r="A21" i="2"/>
  <c r="B21" i="2"/>
  <c r="C21" i="2"/>
  <c r="D21" i="2"/>
  <c r="E21" i="2"/>
  <c r="G21" i="2"/>
  <c r="H21" i="2"/>
  <c r="A22" i="2"/>
  <c r="C22" i="2"/>
  <c r="D22" i="2"/>
  <c r="E22" i="2"/>
  <c r="G22" i="2"/>
  <c r="H22" i="2"/>
  <c r="B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E29" i="2"/>
  <c r="G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C35" i="2"/>
  <c r="E35" i="2"/>
  <c r="D35" i="2"/>
  <c r="G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C38" i="2"/>
  <c r="D38" i="2"/>
  <c r="E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C43" i="2"/>
  <c r="E43" i="2"/>
  <c r="D43" i="2"/>
  <c r="G43" i="2"/>
  <c r="H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D47" i="2"/>
  <c r="G47" i="2"/>
  <c r="C47" i="2"/>
  <c r="H47" i="2"/>
  <c r="B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C51" i="2"/>
  <c r="E51" i="2"/>
  <c r="D51" i="2"/>
  <c r="G51" i="2"/>
  <c r="H51" i="2"/>
  <c r="A52" i="2"/>
  <c r="B52" i="2"/>
  <c r="C52" i="2"/>
  <c r="D52" i="2"/>
  <c r="G52" i="2"/>
  <c r="H52" i="2"/>
  <c r="A53" i="2"/>
  <c r="B53" i="2"/>
  <c r="C53" i="2"/>
  <c r="D53" i="2"/>
  <c r="G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E57" i="2"/>
  <c r="H57" i="2"/>
  <c r="B57" i="2"/>
  <c r="A58" i="2"/>
  <c r="C58" i="2"/>
  <c r="D58" i="2"/>
  <c r="E58" i="2"/>
  <c r="G58" i="2"/>
  <c r="H58" i="2"/>
  <c r="B58" i="2"/>
  <c r="A59" i="2"/>
  <c r="B59" i="2"/>
  <c r="C59" i="2"/>
  <c r="E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D61" i="2"/>
  <c r="G61" i="2"/>
  <c r="H61" i="2"/>
  <c r="A62" i="2"/>
  <c r="C62" i="2"/>
  <c r="D62" i="2"/>
  <c r="G62" i="2"/>
  <c r="H62" i="2"/>
  <c r="B62" i="2"/>
  <c r="A63" i="2"/>
  <c r="D63" i="2"/>
  <c r="G63" i="2"/>
  <c r="C63" i="2"/>
  <c r="E63" i="2"/>
  <c r="H63" i="2"/>
  <c r="B63" i="2"/>
  <c r="C11" i="3"/>
  <c r="H21" i="3"/>
  <c r="C12" i="3"/>
  <c r="C16" i="3"/>
  <c r="D18" i="3"/>
  <c r="O24" i="3"/>
  <c r="O23" i="3"/>
  <c r="O22" i="3"/>
  <c r="O26" i="3"/>
  <c r="O21" i="3"/>
  <c r="O25" i="3"/>
  <c r="E33" i="2" l="1"/>
  <c r="F29" i="1"/>
  <c r="G29" i="1" s="1"/>
  <c r="J29" i="1" s="1"/>
  <c r="E46" i="2"/>
  <c r="E41" i="2"/>
  <c r="E42" i="2"/>
  <c r="E40" i="2"/>
  <c r="E24" i="2"/>
  <c r="E30" i="2"/>
  <c r="E53" i="2"/>
  <c r="E32" i="2"/>
  <c r="E13" i="2"/>
  <c r="F62" i="1"/>
  <c r="G62" i="1" s="1"/>
  <c r="J62" i="1" s="1"/>
  <c r="E23" i="2"/>
  <c r="E16" i="2"/>
  <c r="E52" i="2"/>
  <c r="E25" i="2"/>
  <c r="E61" i="2"/>
  <c r="E37" i="2"/>
  <c r="F15" i="1"/>
  <c r="F70" i="1"/>
  <c r="G70" i="1" s="1"/>
  <c r="K70" i="1" s="1"/>
  <c r="F68" i="1"/>
  <c r="G68" i="1" s="1"/>
  <c r="J68" i="1" s="1"/>
  <c r="F46" i="1"/>
  <c r="G46" i="1" s="1"/>
  <c r="K46" i="1" s="1"/>
  <c r="E50" i="2"/>
  <c r="E45" i="2"/>
  <c r="E36" i="2"/>
  <c r="E11" i="2"/>
  <c r="E54" i="2"/>
  <c r="E48" i="2"/>
  <c r="E26" i="2"/>
  <c r="E56" i="2"/>
  <c r="E20" i="2"/>
  <c r="F65" i="1"/>
  <c r="G65" i="1" s="1"/>
  <c r="K65" i="1" s="1"/>
  <c r="F49" i="1"/>
  <c r="G49" i="1" s="1"/>
  <c r="K49" i="1" s="1"/>
  <c r="F41" i="1"/>
  <c r="G41" i="1" s="1"/>
  <c r="C11" i="1"/>
  <c r="C12" i="1"/>
  <c r="O96" i="1" l="1"/>
  <c r="O95" i="1"/>
  <c r="O94" i="1"/>
  <c r="O93" i="1"/>
  <c r="O92" i="1"/>
  <c r="O37" i="1"/>
  <c r="O32" i="1"/>
  <c r="O87" i="1"/>
  <c r="O71" i="1"/>
  <c r="O57" i="1"/>
  <c r="O72" i="1"/>
  <c r="O48" i="1"/>
  <c r="O46" i="1"/>
  <c r="O66" i="1"/>
  <c r="O43" i="1"/>
  <c r="O60" i="1"/>
  <c r="O44" i="1"/>
  <c r="O51" i="1"/>
  <c r="O76" i="1"/>
  <c r="O73" i="1"/>
  <c r="O59" i="1"/>
  <c r="O31" i="1"/>
  <c r="O81" i="1"/>
  <c r="O90" i="1"/>
  <c r="O42" i="1"/>
  <c r="O33" i="1"/>
  <c r="O30" i="1"/>
  <c r="O27" i="1"/>
  <c r="O56" i="1"/>
  <c r="O69" i="1"/>
  <c r="O63" i="1"/>
  <c r="O79" i="1"/>
  <c r="O25" i="1"/>
  <c r="O84" i="1"/>
  <c r="O24" i="1"/>
  <c r="O83" i="1"/>
  <c r="O64" i="1"/>
  <c r="O23" i="1"/>
  <c r="O53" i="1"/>
  <c r="C15" i="1"/>
  <c r="O50" i="1"/>
  <c r="O47" i="1"/>
  <c r="O26" i="1"/>
  <c r="O52" i="1"/>
  <c r="O85" i="1"/>
  <c r="O54" i="1"/>
  <c r="O65" i="1"/>
  <c r="O35" i="1"/>
  <c r="O55" i="1"/>
  <c r="O78" i="1"/>
  <c r="O62" i="1"/>
  <c r="O89" i="1"/>
  <c r="O45" i="1"/>
  <c r="O77" i="1"/>
  <c r="O61" i="1"/>
  <c r="O40" i="1"/>
  <c r="O41" i="1"/>
  <c r="O39" i="1"/>
  <c r="O49" i="1"/>
  <c r="O91" i="1"/>
  <c r="O88" i="1"/>
  <c r="O22" i="1"/>
  <c r="O58" i="1"/>
  <c r="O74" i="1"/>
  <c r="O75" i="1"/>
  <c r="O36" i="1"/>
  <c r="O80" i="1"/>
  <c r="O29" i="1"/>
  <c r="O82" i="1"/>
  <c r="O67" i="1"/>
  <c r="O38" i="1"/>
  <c r="O28" i="1"/>
  <c r="O34" i="1"/>
  <c r="O86" i="1"/>
  <c r="O70" i="1"/>
  <c r="O21" i="1"/>
  <c r="O68" i="1"/>
  <c r="C16" i="1"/>
  <c r="D18" i="1" s="1"/>
  <c r="J4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<sst xmlns="http://schemas.openxmlformats.org/spreadsheetml/2006/main" count="684" uniqueCount="313">
  <si>
    <t>KW Peg / gsc 2197-1412</t>
  </si>
  <si>
    <t>System Type:</t>
  </si>
  <si>
    <t>EA</t>
  </si>
  <si>
    <t>GCVS 4 Eph.</t>
  </si>
  <si>
    <t>na</t>
  </si>
  <si>
    <t>My time zone &gt;&gt;&gt;&gt;&gt;</t>
  </si>
  <si>
    <t>(PST=8, PDT=MDT=7, MDT=CST=6, etc.)</t>
  </si>
  <si>
    <t>--- Working ----</t>
  </si>
  <si>
    <t>Epoch =</t>
  </si>
  <si>
    <t>IBVS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</si>
  <si>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</si>
  <si>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</si>
  <si>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</si>
  <si>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</si>
  <si>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</si>
  <si>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</si>
  <si>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</si>
  <si>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</si>
  <si>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</si>
  <si>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</si>
  <si>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</si>
  <si>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</si>
  <si>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</si>
  <si>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</si>
  <si>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</si>
  <si>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</si>
  <si>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</si>
  <si>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</si>
  <si>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</si>
  <si>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</si>
  <si>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</si>
  <si>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</si>
  <si>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</si>
  <si>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</si>
  <si>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</si>
  <si>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</si>
  <si>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</si>
  <si>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</si>
  <si>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</si>
  <si>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</si>
  <si>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</si>
  <si>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BAD?</t>
  </si>
  <si>
    <t>IBVS 3579</t>
  </si>
  <si>
    <t>I</t>
  </si>
  <si>
    <t>II</t>
  </si>
  <si>
    <t>BBSAG Bull.106</t>
  </si>
  <si>
    <t>Paschke A</t>
  </si>
  <si>
    <t>B</t>
  </si>
  <si>
    <t>Dvorak, private comm</t>
  </si>
  <si>
    <t>JAVSO..36..186</t>
  </si>
  <si>
    <t>IBVS 5484</t>
  </si>
  <si>
    <t>IBVS 5583</t>
  </si>
  <si>
    <t>VSB 40 </t>
  </si>
  <si>
    <t>IBVS 5643</t>
  </si>
  <si>
    <t>IBVS 5592</t>
  </si>
  <si>
    <t>IBVS 5676</t>
  </si>
  <si>
    <t>IBVS 5668</t>
  </si>
  <si>
    <t>IBVS 5657</t>
  </si>
  <si>
    <t>IBVS 5741</t>
  </si>
  <si>
    <t>IBVS 5731</t>
  </si>
  <si>
    <t>OEJV 0074</t>
  </si>
  <si>
    <t>CCD+R</t>
  </si>
  <si>
    <t>IBVS 5677</t>
  </si>
  <si>
    <t>IBVS 5898</t>
  </si>
  <si>
    <t>IBVS 5761</t>
  </si>
  <si>
    <t>IBVS 6007</t>
  </si>
  <si>
    <t>OEJV 0137</t>
  </si>
  <si>
    <t>IBVS 5920</t>
  </si>
  <si>
    <t>JAVSO..38..183</t>
  </si>
  <si>
    <t>IBVS 5984</t>
  </si>
  <si>
    <t>OEJV 0160</t>
  </si>
  <si>
    <t>IBVS 6011</t>
  </si>
  <si>
    <t>BAVM 225 </t>
  </si>
  <si>
    <t>IBVS 6152</t>
  </si>
  <si>
    <t>VSB 55 </t>
  </si>
  <si>
    <t>IBVS 6230</t>
  </si>
  <si>
    <t>IBVS 6042</t>
  </si>
  <si>
    <t>OEJV 0168</t>
  </si>
  <si>
    <t>OEJV 0179</t>
  </si>
  <si>
    <t>JAVSO..45..121</t>
  </si>
  <si>
    <t>JAVSO..45..215</t>
  </si>
  <si>
    <t>IBVS 6244</t>
  </si>
  <si>
    <t>JAVSO..47..105</t>
  </si>
  <si>
    <t>JAVSO..47..263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</si>
  <si>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</si>
  <si>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</si>
  <si>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</si>
  <si>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</si>
  <si>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</si>
  <si>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</si>
  <si>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</si>
  <si>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</si>
  <si>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2448158.5685 </t>
  </si>
  <si>
    <t> 24.09.1990 01:38 </t>
  </si>
  <si>
    <t> -0.0005 </t>
  </si>
  <si>
    <t>E </t>
  </si>
  <si>
    <t>?</t>
  </si>
  <si>
    <t> J.DeYoung </t>
  </si>
  <si>
    <t>IBVS 3579 </t>
  </si>
  <si>
    <t>2448160.6075 </t>
  </si>
  <si>
    <t> 26.09.1990 02:34 </t>
  </si>
  <si>
    <t> -0.0025 </t>
  </si>
  <si>
    <t>2448225.5099 </t>
  </si>
  <si>
    <t> 30.11.1990 00:14 </t>
  </si>
  <si>
    <t> -0.0040 </t>
  </si>
  <si>
    <t>G</t>
  </si>
  <si>
    <t>2448225.5122 </t>
  </si>
  <si>
    <t> 30.11.1990 00:17 </t>
  </si>
  <si>
    <t> -0.0017 </t>
  </si>
  <si>
    <t>2449250.504 </t>
  </si>
  <si>
    <t> 20.09.1993 00:05 </t>
  </si>
  <si>
    <t> -0.002 </t>
  </si>
  <si>
    <t> A.Paschke </t>
  </si>
  <si>
    <t> BBS 106 </t>
  </si>
  <si>
    <t>2452240.5777 </t>
  </si>
  <si>
    <t> 27.11.2001 01:51 </t>
  </si>
  <si>
    <t> 0.0002 </t>
  </si>
  <si>
    <t>C </t>
  </si>
  <si>
    <t>o</t>
  </si>
  <si>
    <t> S.Dvorak </t>
  </si>
  <si>
    <t>JAAVSO 36(2);186 </t>
  </si>
  <si>
    <t>2452505.4998 </t>
  </si>
  <si>
    <t> 18.08.2002 23:59 </t>
  </si>
  <si>
    <t> -0.0000 </t>
  </si>
  <si>
    <t> F.Agerer </t>
  </si>
  <si>
    <t>BAVM 158 </t>
  </si>
  <si>
    <t>2452510.3966 </t>
  </si>
  <si>
    <t> 23.08.2002 21:31 </t>
  </si>
  <si>
    <t> -0.0016 </t>
  </si>
  <si>
    <t>2452521.4223 </t>
  </si>
  <si>
    <t> 03.09.2002 22:08 </t>
  </si>
  <si>
    <t> 0.0027 </t>
  </si>
  <si>
    <t>R</t>
  </si>
  <si>
    <t> M.Zejda </t>
  </si>
  <si>
    <t>IBVS 5583 </t>
  </si>
  <si>
    <t>2452602.653 </t>
  </si>
  <si>
    <t> 24.11.2002 03:40 </t>
  </si>
  <si>
    <t> 0.001 </t>
  </si>
  <si>
    <t> G.Samolyk </t>
  </si>
  <si>
    <t>2452878.5966 </t>
  </si>
  <si>
    <t> 27.08.2003 02:19 </t>
  </si>
  <si>
    <t> 0.0012 </t>
  </si>
  <si>
    <t>BAVM 172 </t>
  </si>
  <si>
    <t>2452886.3522 </t>
  </si>
  <si>
    <t> 03.09.2003 20:27 </t>
  </si>
  <si>
    <t> 0.0010 </t>
  </si>
  <si>
    <t> T.Krajci </t>
  </si>
  <si>
    <t>IBVS 5592 </t>
  </si>
  <si>
    <t>2452887.5769 </t>
  </si>
  <si>
    <t> 05.09.2003 01:50 </t>
  </si>
  <si>
    <t> 0.0011 </t>
  </si>
  <si>
    <t>2452920.64 </t>
  </si>
  <si>
    <t> 08.10.2003 03:21 </t>
  </si>
  <si>
    <t> -0.00 </t>
  </si>
  <si>
    <t> R.Poklar </t>
  </si>
  <si>
    <t>2452982.2775 </t>
  </si>
  <si>
    <t> 08.12.2003 18:39 </t>
  </si>
  <si>
    <t> -0.0009 </t>
  </si>
  <si>
    <t> L.Kotková &amp; M.Wolf </t>
  </si>
  <si>
    <t>IBVS 5676 </t>
  </si>
  <si>
    <t>2453221.4850 </t>
  </si>
  <si>
    <t> 03.08.2004 23:38 </t>
  </si>
  <si>
    <t> 0.0009 </t>
  </si>
  <si>
    <t>BAVM 173 </t>
  </si>
  <si>
    <t>2453228.4284 </t>
  </si>
  <si>
    <t> 10.08.2004 22:16 </t>
  </si>
  <si>
    <t> 0.0049 </t>
  </si>
  <si>
    <t>2453250.4661 </t>
  </si>
  <si>
    <t> 01.09.2004 23:11 </t>
  </si>
  <si>
    <t> -0.0003 </t>
  </si>
  <si>
    <t>2453255.3663 </t>
  </si>
  <si>
    <t> 06.09.2004 20:47 </t>
  </si>
  <si>
    <t> 0.0015 </t>
  </si>
  <si>
    <t>2453257.4052 </t>
  </si>
  <si>
    <t> 08.09.2004 21:43 </t>
  </si>
  <si>
    <t> -0.0006 </t>
  </si>
  <si>
    <t>2453589.6806 </t>
  </si>
  <si>
    <t> 07.08.2005 04:20 </t>
  </si>
  <si>
    <t> -0.0007 </t>
  </si>
  <si>
    <t>2453601.5201 </t>
  </si>
  <si>
    <t> 19.08.2005 00:28 </t>
  </si>
  <si>
    <t>-I</t>
  </si>
  <si>
    <t>BAVM 178 </t>
  </si>
  <si>
    <t>2453613.3551 </t>
  </si>
  <si>
    <t> 30.08.2005 20:31 </t>
  </si>
  <si>
    <t>1363.5</t>
  </si>
  <si>
    <t> -0.0018 </t>
  </si>
  <si>
    <t>2453617.44065 </t>
  </si>
  <si>
    <t> 03.09.2005 22:34 </t>
  </si>
  <si>
    <t>1368.5</t>
  </si>
  <si>
    <t> 0.00172 </t>
  </si>
  <si>
    <t> L.Šmelcer </t>
  </si>
  <si>
    <t>OEJV 0074 </t>
  </si>
  <si>
    <t>2453627.6449 </t>
  </si>
  <si>
    <t> 14.09.2005 03:28 </t>
  </si>
  <si>
    <t>1381</t>
  </si>
  <si>
    <t>IBVS 5677 </t>
  </si>
  <si>
    <t>2453659.4834 </t>
  </si>
  <si>
    <t> 15.10.2005 23:36 </t>
  </si>
  <si>
    <t>1420</t>
  </si>
  <si>
    <t> -0.0002 </t>
  </si>
  <si>
    <t> P.Frank </t>
  </si>
  <si>
    <t>2453928.4864 </t>
  </si>
  <si>
    <t> 11.07.2006 23:40 </t>
  </si>
  <si>
    <t>1749.5</t>
  </si>
  <si>
    <t> S.Parimucha et al. </t>
  </si>
  <si>
    <t>IBVS 5898 </t>
  </si>
  <si>
    <t>2453966.4520 </t>
  </si>
  <si>
    <t> 18.08.2006 22:50 </t>
  </si>
  <si>
    <t>1796</t>
  </si>
  <si>
    <t> 0.0013 </t>
  </si>
  <si>
    <t>BAVM 183 </t>
  </si>
  <si>
    <t>2454002.3717 </t>
  </si>
  <si>
    <t> 23.09.2006 20:55 </t>
  </si>
  <si>
    <t>1840</t>
  </si>
  <si>
    <t> U.Schmidt </t>
  </si>
  <si>
    <t>2454297.5015 </t>
  </si>
  <si>
    <t> 16.07.2007 00:02 </t>
  </si>
  <si>
    <t>2201.5</t>
  </si>
  <si>
    <t>2454384.44946 </t>
  </si>
  <si>
    <t> 10.10.2007 22:47 </t>
  </si>
  <si>
    <t>2308</t>
  </si>
  <si>
    <t> 0.00114 </t>
  </si>
  <si>
    <t> P.Zasche </t>
  </si>
  <si>
    <t>IBVS 6007 </t>
  </si>
  <si>
    <t>2455121.6584 </t>
  </si>
  <si>
    <t> 17.10.2009 03:48 </t>
  </si>
  <si>
    <t>3211</t>
  </si>
  <si>
    <t> R.Diethelm </t>
  </si>
  <si>
    <t>IBVS 5920 </t>
  </si>
  <si>
    <t>2455146.5584 </t>
  </si>
  <si>
    <t> 11.11.2009 01:24 </t>
  </si>
  <si>
    <t>3241.5</t>
  </si>
  <si>
    <t>ns</t>
  </si>
  <si>
    <t> JAAVSO 38;120 </t>
  </si>
  <si>
    <t>2455481.2842 </t>
  </si>
  <si>
    <t> 11.10.2010 18:49 </t>
  </si>
  <si>
    <t>3651.5</t>
  </si>
  <si>
    <t>BAVM 215 </t>
  </si>
  <si>
    <t>2455834.37661 </t>
  </si>
  <si>
    <t> 29.09.2011 21:02 </t>
  </si>
  <si>
    <t> -0.00113 </t>
  </si>
  <si>
    <t>OEJV 0160 </t>
  </si>
  <si>
    <t>2455834.37751 </t>
  </si>
  <si>
    <t> 29.09.2011 21:03 </t>
  </si>
  <si>
    <t> -0.00023 </t>
  </si>
  <si>
    <t>2455834.37771 </t>
  </si>
  <si>
    <t> -0.00003 </t>
  </si>
  <si>
    <t>2455850.7070 </t>
  </si>
  <si>
    <t> 16.10.2011 04:58 </t>
  </si>
  <si>
    <t>IBVS 6011 </t>
  </si>
  <si>
    <t>2455879.2817 </t>
  </si>
  <si>
    <t> 13.11.2011 18:45 </t>
  </si>
  <si>
    <t> 0.0019 </t>
  </si>
  <si>
    <t> D.Böhme </t>
  </si>
  <si>
    <t>BAVM 239 </t>
  </si>
  <si>
    <t>2455879.28445 </t>
  </si>
  <si>
    <t> 13.11.2011 18:49 </t>
  </si>
  <si>
    <t> 0.00461 </t>
  </si>
  <si>
    <t> M.Magris </t>
  </si>
  <si>
    <t>2456219.7187 </t>
  </si>
  <si>
    <t> 19.10.2012 05:14 </t>
  </si>
  <si>
    <t>IBVS 6042 </t>
  </si>
  <si>
    <t>2456541.38276 </t>
  </si>
  <si>
    <t> 05.09.2013 21:11 </t>
  </si>
  <si>
    <t> 0.00115 </t>
  </si>
  <si>
    <t>2456541.38323 </t>
  </si>
  <si>
    <t> 0.00162 </t>
  </si>
  <si>
    <t>2456541.38344 </t>
  </si>
  <si>
    <t> 05.09.2013 21:12 </t>
  </si>
  <si>
    <t> 0.00183 </t>
  </si>
  <si>
    <t>2452561.2499 </t>
  </si>
  <si>
    <t> 13.10.2002 17:59 </t>
  </si>
  <si>
    <t> -0.1734 </t>
  </si>
  <si>
    <t> Nakajima </t>
  </si>
  <si>
    <t>2453360.2722 </t>
  </si>
  <si>
    <t> 20.12.2004 18:31 </t>
  </si>
  <si>
    <t> M.Zejda et al. </t>
  </si>
  <si>
    <t>IBVS 5741 </t>
  </si>
  <si>
    <t>2455000.4236 </t>
  </si>
  <si>
    <t> 17.06.2009 22:09 </t>
  </si>
  <si>
    <t>3062.5</t>
  </si>
  <si>
    <t>OEJV 0137 </t>
  </si>
  <si>
    <t>2455000.4242 </t>
  </si>
  <si>
    <t> 17.06.2009 22:10 </t>
  </si>
  <si>
    <t> 0.0008 </t>
  </si>
  <si>
    <t>2455000.4253 </t>
  </si>
  <si>
    <t> 17.06.2009 22:12 </t>
  </si>
  <si>
    <t>2455857.2382 </t>
  </si>
  <si>
    <t> 22.10.2011 17:43 </t>
  </si>
  <si>
    <t>2456160.1224 </t>
  </si>
  <si>
    <t> 20.08.2012 14:56 </t>
  </si>
  <si>
    <t> 0.0004 </t>
  </si>
  <si>
    <t>Rc</t>
  </si>
  <si>
    <t> K.Shiokawa </t>
  </si>
  <si>
    <t>2456213.0530 </t>
  </si>
  <si>
    <t> 12.10.2012 13:16 </t>
  </si>
  <si>
    <t> -0.1351 </t>
  </si>
  <si>
    <t>KW Peg</t>
  </si>
  <si>
    <t>Sum diff² =</t>
  </si>
  <si>
    <t>BBSAG</t>
  </si>
  <si>
    <t>Dvorak</t>
  </si>
  <si>
    <t>S4</t>
  </si>
  <si>
    <t>Krajci</t>
  </si>
  <si>
    <t>JAVSO 49, 108</t>
  </si>
  <si>
    <t>VSB, 91</t>
  </si>
  <si>
    <t>JAVSO, 50, 133</t>
  </si>
  <si>
    <t>JAAVSO 51, 134</t>
  </si>
  <si>
    <t>JAAVSO52#1</t>
  </si>
  <si>
    <t xml:space="preserve">Mag </t>
  </si>
  <si>
    <t>Next ToM-P</t>
  </si>
  <si>
    <t>Next ToM-S</t>
  </si>
  <si>
    <t>11.90-12.30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</si>
</sst>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2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10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>
      <alignment vertical="top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1" fillId="0" borderId="0" xfId="7" applyFont="1" applyAlignment="1">
      <alignment horizontal="left" vertical="center" wrapText="1"/>
    </xf>
    <xf numFmtId="0" fontId="11" fillId="0" borderId="0" xfId="7" applyFont="1" applyAlignment="1">
      <alignment horizontal="center" vertical="center" wrapText="1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2" borderId="0" xfId="0" applyFont="1" applyFill="1" applyAlignment="1"/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2" fillId="0" borderId="0" xfId="7" applyFont="1" applyAlignment="1">
      <alignment horizontal="center" wrapText="1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5" fillId="3" borderId="11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16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7" fontId="0" fillId="0" borderId="0" xfId="0" applyNumberFormat="1" applyAlignment="1">
      <alignment horizontal="center"/>
    </xf>
    <xf numFmtId="168" fontId="0" fillId="0" borderId="0" xfId="0" applyNumberFormat="1" applyAlignment="1"/>
    <xf numFmtId="168" fontId="2" fillId="0" borderId="0" xfId="0" applyNumberFormat="1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0" fontId="2" fillId="0" borderId="0" xfId="0" applyFont="1" applyAlignment="1">
      <alignment vertical="center" wrapText="1"/>
    </xf>
    <xf numFmtId="167" fontId="2" fillId="0" borderId="0" xfId="0" applyNumberFormat="1" applyFont="1" applyAlignment="1"/>
    <xf numFmtId="0" fontId="11" fillId="0" borderId="0" xfId="7" applyFont="1" applyAlignment="1">
      <alignment wrapText="1"/>
    </xf>
    <xf numFmtId="0" fontId="12" fillId="0" borderId="0" xfId="0" applyFont="1" applyAlignment="1"/>
    <xf numFmtId="0" fontId="11" fillId="0" borderId="0" xfId="6" applyFont="1"/>
    <xf numFmtId="0" fontId="11" fillId="0" borderId="0" xfId="7" applyFont="1"/>
    <xf numFmtId="0" fontId="2" fillId="0" borderId="0" xfId="7" applyFont="1" applyAlignment="1">
      <alignment wrapText="1"/>
    </xf>
    <xf numFmtId="0" fontId="13" fillId="0" borderId="0" xfId="7" applyFont="1"/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2" xfId="0" applyBorder="1">
      <alignment vertical="top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4" borderId="13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Peg - O-C Diagr.</a:t>
            </a:r>
          </a:p>
        </c:rich>
      </c:tx>
      <c:layout>
        <c:manualLayout>
          <c:xMode val="edge"/>
          <c:yMode val="edge"/>
          <c:x val="0.3689927363730696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53520702398"/>
          <c:y val="0.23584978088695488"/>
          <c:w val="0.81705550062908894"/>
          <c:h val="0.59119678408996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1'!$H$21:$H$87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AF-4173-8837-A5E13FFEB63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1'!$I$21:$I$87</c:f>
              <c:numCache>
                <c:formatCode>General</c:formatCode>
                <c:ptCount val="67"/>
                <c:pt idx="5">
                  <c:v>2.3000000001047738E-2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AF-4173-8837-A5E13FFEB639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1'!$J$21:$J$87</c:f>
              <c:numCache>
                <c:formatCode>General</c:formatCode>
                <c:ptCount val="67"/>
                <c:pt idx="0">
                  <c:v>0</c:v>
                </c:pt>
                <c:pt idx="1">
                  <c:v>1.1000000013154931E-3</c:v>
                </c:pt>
                <c:pt idx="2">
                  <c:v>-8.6000000010244548E-4</c:v>
                </c:pt>
                <c:pt idx="3">
                  <c:v>-9.8799999977927655E-4</c:v>
                </c:pt>
                <c:pt idx="4">
                  <c:v>1.3120000003254972E-3</c:v>
                </c:pt>
                <c:pt idx="8">
                  <c:v>9.579200000007404E-2</c:v>
                </c:pt>
                <c:pt idx="9">
                  <c:v>9.4288000000233296E-2</c:v>
                </c:pt>
                <c:pt idx="13">
                  <c:v>0.10510399999475339</c:v>
                </c:pt>
                <c:pt idx="15">
                  <c:v>0.10517999999865424</c:v>
                </c:pt>
                <c:pt idx="19">
                  <c:v>0.11222399999678601</c:v>
                </c:pt>
                <c:pt idx="20">
                  <c:v>0.11635999999998603</c:v>
                </c:pt>
                <c:pt idx="21">
                  <c:v>0.11169199999858392</c:v>
                </c:pt>
                <c:pt idx="22">
                  <c:v>0.11358800000016345</c:v>
                </c:pt>
                <c:pt idx="23">
                  <c:v>0.11152800000127172</c:v>
                </c:pt>
                <c:pt idx="26">
                  <c:v>0.12057199999981094</c:v>
                </c:pt>
                <c:pt idx="27">
                  <c:v>0.11800400000356603</c:v>
                </c:pt>
                <c:pt idx="30">
                  <c:v>0.12060799999744631</c:v>
                </c:pt>
                <c:pt idx="32">
                  <c:v>0.12882399999944028</c:v>
                </c:pt>
                <c:pt idx="33">
                  <c:v>0.12762800000200514</c:v>
                </c:pt>
                <c:pt idx="41">
                  <c:v>0.16051200000219978</c:v>
                </c:pt>
                <c:pt idx="47">
                  <c:v>0.17081199999665841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AF-4173-8837-A5E13FFEB639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1'!$F$21:$F$807</c:f>
              <c:numCache>
                <c:formatCode>General</c:formatCode>
                <c:ptCount val="78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  <c:pt idx="67">
                  <c:v>13425</c:v>
                </c:pt>
                <c:pt idx="68">
                  <c:v>13475</c:v>
                </c:pt>
                <c:pt idx="69">
                  <c:v>13833.5</c:v>
                </c:pt>
                <c:pt idx="70">
                  <c:v>13890</c:v>
                </c:pt>
                <c:pt idx="71">
                  <c:v>14261.5</c:v>
                </c:pt>
                <c:pt idx="72">
                  <c:v>14320</c:v>
                </c:pt>
                <c:pt idx="73">
                  <c:v>14331</c:v>
                </c:pt>
                <c:pt idx="74">
                  <c:v>14707.5</c:v>
                </c:pt>
                <c:pt idx="75">
                  <c:v>14847</c:v>
                </c:pt>
              </c:numCache>
            </c:numRef>
          </c:xVal>
          <c:yVal>
            <c:numRef>
              <c:f>'Active 1'!$K$21:$K$807</c:f>
              <c:numCache>
                <c:formatCode>General</c:formatCode>
                <c:ptCount val="787"/>
                <c:pt idx="6">
                  <c:v>9.0300000003480818E-2</c:v>
                </c:pt>
                <c:pt idx="7">
                  <c:v>9.0300000003480818E-2</c:v>
                </c:pt>
                <c:pt idx="10">
                  <c:v>9.8804000001109671E-2</c:v>
                </c:pt>
                <c:pt idx="12">
                  <c:v>9.9296000000322238E-2</c:v>
                </c:pt>
                <c:pt idx="14">
                  <c:v>0.10505600000033155</c:v>
                </c:pt>
                <c:pt idx="16">
                  <c:v>0.10472799999843119</c:v>
                </c:pt>
                <c:pt idx="17">
                  <c:v>0.10523599999578437</c:v>
                </c:pt>
                <c:pt idx="18">
                  <c:v>0.11026799999672221</c:v>
                </c:pt>
                <c:pt idx="24">
                  <c:v>0.11414399999921443</c:v>
                </c:pt>
                <c:pt idx="25">
                  <c:v>0.11864000000059605</c:v>
                </c:pt>
                <c:pt idx="28">
                  <c:v>0.12163399999553803</c:v>
                </c:pt>
                <c:pt idx="29">
                  <c:v>0.12108399999851827</c:v>
                </c:pt>
                <c:pt idx="31">
                  <c:v>0.12508000000525499</c:v>
                </c:pt>
                <c:pt idx="34">
                  <c:v>0.13461200000165263</c:v>
                </c:pt>
                <c:pt idx="35">
                  <c:v>0.13767600000574021</c:v>
                </c:pt>
                <c:pt idx="36">
                  <c:v>0.1501780000035069</c:v>
                </c:pt>
                <c:pt idx="37">
                  <c:v>0.15077800000290154</c:v>
                </c:pt>
                <c:pt idx="38">
                  <c:v>0.15187799999694107</c:v>
                </c:pt>
                <c:pt idx="39">
                  <c:v>0.15186399999947753</c:v>
                </c:pt>
                <c:pt idx="40">
                  <c:v>0.15215200000238838</c:v>
                </c:pt>
                <c:pt idx="42">
                  <c:v>0.16684199999872362</c:v>
                </c:pt>
                <c:pt idx="43">
                  <c:v>0.16774199999781558</c:v>
                </c:pt>
                <c:pt idx="44">
                  <c:v>0.16794200000003912</c:v>
                </c:pt>
                <c:pt idx="45">
                  <c:v>0.16955199999938486</c:v>
                </c:pt>
                <c:pt idx="46">
                  <c:v>0.16967999999906169</c:v>
                </c:pt>
                <c:pt idx="48">
                  <c:v>0.17356199999630917</c:v>
                </c:pt>
                <c:pt idx="49">
                  <c:v>0.17541599999822211</c:v>
                </c:pt>
                <c:pt idx="50">
                  <c:v>0.17552799999975832</c:v>
                </c:pt>
                <c:pt idx="52">
                  <c:v>0.1756840000016382</c:v>
                </c:pt>
                <c:pt idx="53">
                  <c:v>0.18444799999997485</c:v>
                </c:pt>
                <c:pt idx="54">
                  <c:v>0.18491799999901559</c:v>
                </c:pt>
                <c:pt idx="55">
                  <c:v>0.18512799999734852</c:v>
                </c:pt>
                <c:pt idx="56">
                  <c:v>0.1961280000032275</c:v>
                </c:pt>
                <c:pt idx="57">
                  <c:v>0.19198400000459515</c:v>
                </c:pt>
                <c:pt idx="58">
                  <c:v>0.20540400000027148</c:v>
                </c:pt>
                <c:pt idx="59">
                  <c:v>0.21016799999779323</c:v>
                </c:pt>
                <c:pt idx="60">
                  <c:v>0.21222800000396091</c:v>
                </c:pt>
                <c:pt idx="61">
                  <c:v>0.21486199996434152</c:v>
                </c:pt>
                <c:pt idx="62">
                  <c:v>0.21508199977688491</c:v>
                </c:pt>
                <c:pt idx="63">
                  <c:v>0.21441200000117533</c:v>
                </c:pt>
                <c:pt idx="64">
                  <c:v>0.22283199999947101</c:v>
                </c:pt>
                <c:pt idx="65">
                  <c:v>0.22125999999843771</c:v>
                </c:pt>
                <c:pt idx="66">
                  <c:v>0.22905200000241166</c:v>
                </c:pt>
                <c:pt idx="67">
                  <c:v>0.23920000000362052</c:v>
                </c:pt>
                <c:pt idx="68">
                  <c:v>0.23889999999664724</c:v>
                </c:pt>
                <c:pt idx="69">
                  <c:v>0.24403600016376004</c:v>
                </c:pt>
                <c:pt idx="70">
                  <c:v>0.24624000000039814</c:v>
                </c:pt>
                <c:pt idx="71">
                  <c:v>0.2523840000067139</c:v>
                </c:pt>
                <c:pt idx="72">
                  <c:v>0.25402000000030966</c:v>
                </c:pt>
                <c:pt idx="73">
                  <c:v>0.25359600000228966</c:v>
                </c:pt>
                <c:pt idx="74">
                  <c:v>0.26202000000193948</c:v>
                </c:pt>
                <c:pt idx="75">
                  <c:v>0.26585200000408804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AF-4173-8837-A5E13FFEB639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1'!$L$21:$L$87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AF-4173-8837-A5E13FFEB63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1'!$M$21:$M$87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AF-4173-8837-A5E13FFEB63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1'!$N$21:$N$87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AF-4173-8837-A5E13FFEB63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1'!$F$21:$F$870</c:f>
              <c:numCache>
                <c:formatCode>General</c:formatCode>
                <c:ptCount val="850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  <c:pt idx="67">
                  <c:v>13425</c:v>
                </c:pt>
                <c:pt idx="68">
                  <c:v>13475</c:v>
                </c:pt>
                <c:pt idx="69">
                  <c:v>13833.5</c:v>
                </c:pt>
                <c:pt idx="70">
                  <c:v>13890</c:v>
                </c:pt>
                <c:pt idx="71">
                  <c:v>14261.5</c:v>
                </c:pt>
                <c:pt idx="72">
                  <c:v>14320</c:v>
                </c:pt>
                <c:pt idx="73">
                  <c:v>14331</c:v>
                </c:pt>
                <c:pt idx="74">
                  <c:v>14707.5</c:v>
                </c:pt>
                <c:pt idx="75">
                  <c:v>14847</c:v>
                </c:pt>
              </c:numCache>
            </c:numRef>
          </c:xVal>
          <c:yVal>
            <c:numRef>
              <c:f>'Active 1'!$O$21:$O$870</c:f>
              <c:numCache>
                <c:formatCode>General</c:formatCode>
                <c:ptCount val="850"/>
                <c:pt idx="0">
                  <c:v>3.2082628896182297E-3</c:v>
                </c:pt>
                <c:pt idx="1">
                  <c:v>3.2082628896182297E-3</c:v>
                </c:pt>
                <c:pt idx="2">
                  <c:v>3.2521400370690429E-3</c:v>
                </c:pt>
                <c:pt idx="3">
                  <c:v>4.6474333260049091E-3</c:v>
                </c:pt>
                <c:pt idx="4">
                  <c:v>4.6474333260049091E-3</c:v>
                </c:pt>
                <c:pt idx="5">
                  <c:v>2.6682536775803394E-2</c:v>
                </c:pt>
                <c:pt idx="6">
                  <c:v>9.0962557791245E-2</c:v>
                </c:pt>
                <c:pt idx="7">
                  <c:v>9.0962557791245E-2</c:v>
                </c:pt>
                <c:pt idx="8">
                  <c:v>9.6657811530360585E-2</c:v>
                </c:pt>
                <c:pt idx="9">
                  <c:v>9.6763116684242534E-2</c:v>
                </c:pt>
                <c:pt idx="10">
                  <c:v>9.7000053280476922E-2</c:v>
                </c:pt>
                <c:pt idx="11">
                  <c:v>9.7860045370512877E-2</c:v>
                </c:pt>
                <c:pt idx="12">
                  <c:v>9.8746363749019295E-2</c:v>
                </c:pt>
                <c:pt idx="13">
                  <c:v>0.10467855408436927</c:v>
                </c:pt>
                <c:pt idx="14">
                  <c:v>0.10484528724468237</c:v>
                </c:pt>
                <c:pt idx="15">
                  <c:v>0.10487161353315284</c:v>
                </c:pt>
                <c:pt idx="16">
                  <c:v>0.10558242332185602</c:v>
                </c:pt>
                <c:pt idx="17">
                  <c:v>0.10690751317487059</c:v>
                </c:pt>
                <c:pt idx="18">
                  <c:v>0.11176910111242072</c:v>
                </c:pt>
                <c:pt idx="19">
                  <c:v>0.11204991485610592</c:v>
                </c:pt>
                <c:pt idx="20">
                  <c:v>0.11219909715743868</c:v>
                </c:pt>
                <c:pt idx="21">
                  <c:v>0.11267297034990748</c:v>
                </c:pt>
                <c:pt idx="22">
                  <c:v>0.11277827550378942</c:v>
                </c:pt>
                <c:pt idx="23">
                  <c:v>0.11282215265124024</c:v>
                </c:pt>
                <c:pt idx="24">
                  <c:v>0.11503356088276123</c:v>
                </c:pt>
                <c:pt idx="25">
                  <c:v>0.11996535225623266</c:v>
                </c:pt>
                <c:pt idx="26">
                  <c:v>0.12021983971144737</c:v>
                </c:pt>
                <c:pt idx="27">
                  <c:v>0.12047432716666209</c:v>
                </c:pt>
                <c:pt idx="28">
                  <c:v>0.12056208146156372</c:v>
                </c:pt>
                <c:pt idx="29">
                  <c:v>0.12078146719881779</c:v>
                </c:pt>
                <c:pt idx="30">
                  <c:v>0.12146595069905047</c:v>
                </c:pt>
                <c:pt idx="31">
                  <c:v>0.12724895873306769</c:v>
                </c:pt>
                <c:pt idx="32">
                  <c:v>0.12806507367565281</c:v>
                </c:pt>
                <c:pt idx="33">
                  <c:v>0.12883731147078711</c:v>
                </c:pt>
                <c:pt idx="34">
                  <c:v>0.13518194699217473</c:v>
                </c:pt>
                <c:pt idx="35">
                  <c:v>0.1370511134735794</c:v>
                </c:pt>
                <c:pt idx="36">
                  <c:v>0.15029323657423488</c:v>
                </c:pt>
                <c:pt idx="37">
                  <c:v>0.15029323657423488</c:v>
                </c:pt>
                <c:pt idx="38">
                  <c:v>0.15029323657423488</c:v>
                </c:pt>
                <c:pt idx="39">
                  <c:v>0.15289953913281318</c:v>
                </c:pt>
                <c:pt idx="40">
                  <c:v>0.15343484033171312</c:v>
                </c:pt>
                <c:pt idx="41">
                  <c:v>0.16063069251364651</c:v>
                </c:pt>
                <c:pt idx="42">
                  <c:v>0.16822143902263723</c:v>
                </c:pt>
                <c:pt idx="43">
                  <c:v>0.16822143902263723</c:v>
                </c:pt>
                <c:pt idx="44">
                  <c:v>0.16822143902263723</c:v>
                </c:pt>
                <c:pt idx="45">
                  <c:v>0.16857245620224373</c:v>
                </c:pt>
                <c:pt idx="46">
                  <c:v>0.16871286307408634</c:v>
                </c:pt>
                <c:pt idx="47">
                  <c:v>0.16918673626655512</c:v>
                </c:pt>
                <c:pt idx="48">
                  <c:v>0.16918673626655512</c:v>
                </c:pt>
                <c:pt idx="49">
                  <c:v>0.17522423175578702</c:v>
                </c:pt>
                <c:pt idx="50">
                  <c:v>0.17600524498041151</c:v>
                </c:pt>
                <c:pt idx="51">
                  <c:v>0.17636503758950819</c:v>
                </c:pt>
                <c:pt idx="52">
                  <c:v>0.17650544446135077</c:v>
                </c:pt>
                <c:pt idx="53">
                  <c:v>0.18342048289959897</c:v>
                </c:pt>
                <c:pt idx="54">
                  <c:v>0.18342048289959897</c:v>
                </c:pt>
                <c:pt idx="55">
                  <c:v>0.18342048289959897</c:v>
                </c:pt>
                <c:pt idx="56">
                  <c:v>0.19087959796623724</c:v>
                </c:pt>
                <c:pt idx="57">
                  <c:v>0.19208183180638955</c:v>
                </c:pt>
                <c:pt idx="58">
                  <c:v>0.20735107911927261</c:v>
                </c:pt>
                <c:pt idx="59">
                  <c:v>0.20829882550421017</c:v>
                </c:pt>
                <c:pt idx="60">
                  <c:v>0.21373959178811103</c:v>
                </c:pt>
                <c:pt idx="61">
                  <c:v>0.2143801981408929</c:v>
                </c:pt>
                <c:pt idx="62">
                  <c:v>0.2143801981408929</c:v>
                </c:pt>
                <c:pt idx="63">
                  <c:v>0.21525774108990917</c:v>
                </c:pt>
                <c:pt idx="64">
                  <c:v>0.22306787333615397</c:v>
                </c:pt>
                <c:pt idx="65">
                  <c:v>0.22364705168250471</c:v>
                </c:pt>
                <c:pt idx="66">
                  <c:v>0.22956169115887434</c:v>
                </c:pt>
                <c:pt idx="67">
                  <c:v>0.23882854470048612</c:v>
                </c:pt>
                <c:pt idx="68">
                  <c:v>0.23970608764950238</c:v>
                </c:pt>
                <c:pt idx="69">
                  <c:v>0.24599807059394904</c:v>
                </c:pt>
                <c:pt idx="70">
                  <c:v>0.24698969412633742</c:v>
                </c:pt>
                <c:pt idx="71">
                  <c:v>0.25350983823752826</c:v>
                </c:pt>
                <c:pt idx="72">
                  <c:v>0.25453656348787734</c:v>
                </c:pt>
                <c:pt idx="73">
                  <c:v>0.2547296229366609</c:v>
                </c:pt>
                <c:pt idx="74">
                  <c:v>0.2613375213427534</c:v>
                </c:pt>
                <c:pt idx="75">
                  <c:v>0.26378586617050875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AF-4173-8837-A5E13FFEB63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1'!$U$21:$U$87</c:f>
              <c:numCache>
                <c:formatCode>General</c:formatCode>
                <c:ptCount val="67"/>
                <c:pt idx="11">
                  <c:v>-7.6411999994888902E-2</c:v>
                </c:pt>
                <c:pt idx="51">
                  <c:v>4.105600000184495E-2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AF-4173-8837-A5E13FFEB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41280"/>
        <c:axId val="1"/>
      </c:scatterChart>
      <c:valAx>
        <c:axId val="727141280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17910842540038"/>
              <c:y val="0.91195232671387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3178294573643E-2"/>
              <c:y val="0.43710823882863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41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23272090988625"/>
          <c:y val="0.9088076726258274"/>
          <c:w val="0.78139648822966901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Peg - O-C Diagr.</a:t>
            </a:r>
          </a:p>
        </c:rich>
      </c:tx>
      <c:layout>
        <c:manualLayout>
          <c:xMode val="edge"/>
          <c:yMode val="edge"/>
          <c:x val="0.368421377668348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31899075363924"/>
          <c:y val="0.23511007774245343"/>
          <c:w val="0.81269411272956227"/>
          <c:h val="0.5924773959109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1'!$H$21:$H$87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9F-4094-8CE7-F61DB100979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1'!$I$21:$I$87</c:f>
              <c:numCache>
                <c:formatCode>General</c:formatCode>
                <c:ptCount val="67"/>
                <c:pt idx="5">
                  <c:v>2.3000000001047738E-2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9F-4094-8CE7-F61DB100979D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1'!$J$21:$J$87</c:f>
              <c:numCache>
                <c:formatCode>General</c:formatCode>
                <c:ptCount val="67"/>
                <c:pt idx="0">
                  <c:v>0</c:v>
                </c:pt>
                <c:pt idx="1">
                  <c:v>1.1000000013154931E-3</c:v>
                </c:pt>
                <c:pt idx="2">
                  <c:v>-8.6000000010244548E-4</c:v>
                </c:pt>
                <c:pt idx="3">
                  <c:v>-9.8799999977927655E-4</c:v>
                </c:pt>
                <c:pt idx="4">
                  <c:v>1.3120000003254972E-3</c:v>
                </c:pt>
                <c:pt idx="8">
                  <c:v>9.579200000007404E-2</c:v>
                </c:pt>
                <c:pt idx="9">
                  <c:v>9.4288000000233296E-2</c:v>
                </c:pt>
                <c:pt idx="13">
                  <c:v>0.10510399999475339</c:v>
                </c:pt>
                <c:pt idx="15">
                  <c:v>0.10517999999865424</c:v>
                </c:pt>
                <c:pt idx="19">
                  <c:v>0.11222399999678601</c:v>
                </c:pt>
                <c:pt idx="20">
                  <c:v>0.11635999999998603</c:v>
                </c:pt>
                <c:pt idx="21">
                  <c:v>0.11169199999858392</c:v>
                </c:pt>
                <c:pt idx="22">
                  <c:v>0.11358800000016345</c:v>
                </c:pt>
                <c:pt idx="23">
                  <c:v>0.11152800000127172</c:v>
                </c:pt>
                <c:pt idx="26">
                  <c:v>0.12057199999981094</c:v>
                </c:pt>
                <c:pt idx="27">
                  <c:v>0.11800400000356603</c:v>
                </c:pt>
                <c:pt idx="30">
                  <c:v>0.12060799999744631</c:v>
                </c:pt>
                <c:pt idx="32">
                  <c:v>0.12882399999944028</c:v>
                </c:pt>
                <c:pt idx="33">
                  <c:v>0.12762800000200514</c:v>
                </c:pt>
                <c:pt idx="41">
                  <c:v>0.16051200000219978</c:v>
                </c:pt>
                <c:pt idx="47">
                  <c:v>0.17081199999665841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9F-4094-8CE7-F61DB100979D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1'!$F$21:$F$870</c:f>
              <c:numCache>
                <c:formatCode>General</c:formatCode>
                <c:ptCount val="850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  <c:pt idx="67">
                  <c:v>13425</c:v>
                </c:pt>
                <c:pt idx="68">
                  <c:v>13475</c:v>
                </c:pt>
                <c:pt idx="69">
                  <c:v>13833.5</c:v>
                </c:pt>
                <c:pt idx="70">
                  <c:v>13890</c:v>
                </c:pt>
                <c:pt idx="71">
                  <c:v>14261.5</c:v>
                </c:pt>
                <c:pt idx="72">
                  <c:v>14320</c:v>
                </c:pt>
                <c:pt idx="73">
                  <c:v>14331</c:v>
                </c:pt>
                <c:pt idx="74">
                  <c:v>14707.5</c:v>
                </c:pt>
                <c:pt idx="75">
                  <c:v>14847</c:v>
                </c:pt>
              </c:numCache>
            </c:numRef>
          </c:xVal>
          <c:yVal>
            <c:numRef>
              <c:f>'Active 1'!$K$21:$K$870</c:f>
              <c:numCache>
                <c:formatCode>General</c:formatCode>
                <c:ptCount val="850"/>
                <c:pt idx="6">
                  <c:v>9.0300000003480818E-2</c:v>
                </c:pt>
                <c:pt idx="7">
                  <c:v>9.0300000003480818E-2</c:v>
                </c:pt>
                <c:pt idx="10">
                  <c:v>9.8804000001109671E-2</c:v>
                </c:pt>
                <c:pt idx="12">
                  <c:v>9.9296000000322238E-2</c:v>
                </c:pt>
                <c:pt idx="14">
                  <c:v>0.10505600000033155</c:v>
                </c:pt>
                <c:pt idx="16">
                  <c:v>0.10472799999843119</c:v>
                </c:pt>
                <c:pt idx="17">
                  <c:v>0.10523599999578437</c:v>
                </c:pt>
                <c:pt idx="18">
                  <c:v>0.11026799999672221</c:v>
                </c:pt>
                <c:pt idx="24">
                  <c:v>0.11414399999921443</c:v>
                </c:pt>
                <c:pt idx="25">
                  <c:v>0.11864000000059605</c:v>
                </c:pt>
                <c:pt idx="28">
                  <c:v>0.12163399999553803</c:v>
                </c:pt>
                <c:pt idx="29">
                  <c:v>0.12108399999851827</c:v>
                </c:pt>
                <c:pt idx="31">
                  <c:v>0.12508000000525499</c:v>
                </c:pt>
                <c:pt idx="34">
                  <c:v>0.13461200000165263</c:v>
                </c:pt>
                <c:pt idx="35">
                  <c:v>0.13767600000574021</c:v>
                </c:pt>
                <c:pt idx="36">
                  <c:v>0.1501780000035069</c:v>
                </c:pt>
                <c:pt idx="37">
                  <c:v>0.15077800000290154</c:v>
                </c:pt>
                <c:pt idx="38">
                  <c:v>0.15187799999694107</c:v>
                </c:pt>
                <c:pt idx="39">
                  <c:v>0.15186399999947753</c:v>
                </c:pt>
                <c:pt idx="40">
                  <c:v>0.15215200000238838</c:v>
                </c:pt>
                <c:pt idx="42">
                  <c:v>0.16684199999872362</c:v>
                </c:pt>
                <c:pt idx="43">
                  <c:v>0.16774199999781558</c:v>
                </c:pt>
                <c:pt idx="44">
                  <c:v>0.16794200000003912</c:v>
                </c:pt>
                <c:pt idx="45">
                  <c:v>0.16955199999938486</c:v>
                </c:pt>
                <c:pt idx="46">
                  <c:v>0.16967999999906169</c:v>
                </c:pt>
                <c:pt idx="48">
                  <c:v>0.17356199999630917</c:v>
                </c:pt>
                <c:pt idx="49">
                  <c:v>0.17541599999822211</c:v>
                </c:pt>
                <c:pt idx="50">
                  <c:v>0.17552799999975832</c:v>
                </c:pt>
                <c:pt idx="52">
                  <c:v>0.1756840000016382</c:v>
                </c:pt>
                <c:pt idx="53">
                  <c:v>0.18444799999997485</c:v>
                </c:pt>
                <c:pt idx="54">
                  <c:v>0.18491799999901559</c:v>
                </c:pt>
                <c:pt idx="55">
                  <c:v>0.18512799999734852</c:v>
                </c:pt>
                <c:pt idx="56">
                  <c:v>0.1961280000032275</c:v>
                </c:pt>
                <c:pt idx="57">
                  <c:v>0.19198400000459515</c:v>
                </c:pt>
                <c:pt idx="58">
                  <c:v>0.20540400000027148</c:v>
                </c:pt>
                <c:pt idx="59">
                  <c:v>0.21016799999779323</c:v>
                </c:pt>
                <c:pt idx="60">
                  <c:v>0.21222800000396091</c:v>
                </c:pt>
                <c:pt idx="61">
                  <c:v>0.21486199996434152</c:v>
                </c:pt>
                <c:pt idx="62">
                  <c:v>0.21508199977688491</c:v>
                </c:pt>
                <c:pt idx="63">
                  <c:v>0.21441200000117533</c:v>
                </c:pt>
                <c:pt idx="64">
                  <c:v>0.22283199999947101</c:v>
                </c:pt>
                <c:pt idx="65">
                  <c:v>0.22125999999843771</c:v>
                </c:pt>
                <c:pt idx="66">
                  <c:v>0.22905200000241166</c:v>
                </c:pt>
                <c:pt idx="67">
                  <c:v>0.23920000000362052</c:v>
                </c:pt>
                <c:pt idx="68">
                  <c:v>0.23889999999664724</c:v>
                </c:pt>
                <c:pt idx="69">
                  <c:v>0.24403600016376004</c:v>
                </c:pt>
                <c:pt idx="70">
                  <c:v>0.24624000000039814</c:v>
                </c:pt>
                <c:pt idx="71">
                  <c:v>0.2523840000067139</c:v>
                </c:pt>
                <c:pt idx="72">
                  <c:v>0.25402000000030966</c:v>
                </c:pt>
                <c:pt idx="73">
                  <c:v>0.25359600000228966</c:v>
                </c:pt>
                <c:pt idx="74">
                  <c:v>0.26202000000193948</c:v>
                </c:pt>
                <c:pt idx="75">
                  <c:v>0.26585200000408804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9F-4094-8CE7-F61DB100979D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1'!$L$21:$L$87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9F-4094-8CE7-F61DB100979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1'!$M$21:$M$87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9F-4094-8CE7-F61DB100979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1'!$N$21:$N$87</c:f>
              <c:numCache>
                <c:formatCode>General</c:formatCode>
                <c:ptCount val="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9F-4094-8CE7-F61DB100979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1'!$F$21:$F$807</c:f>
              <c:numCache>
                <c:formatCode>General</c:formatCode>
                <c:ptCount val="78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  <c:pt idx="67">
                  <c:v>13425</c:v>
                </c:pt>
                <c:pt idx="68">
                  <c:v>13475</c:v>
                </c:pt>
                <c:pt idx="69">
                  <c:v>13833.5</c:v>
                </c:pt>
                <c:pt idx="70">
                  <c:v>13890</c:v>
                </c:pt>
                <c:pt idx="71">
                  <c:v>14261.5</c:v>
                </c:pt>
                <c:pt idx="72">
                  <c:v>14320</c:v>
                </c:pt>
                <c:pt idx="73">
                  <c:v>14331</c:v>
                </c:pt>
                <c:pt idx="74">
                  <c:v>14707.5</c:v>
                </c:pt>
                <c:pt idx="75">
                  <c:v>14847</c:v>
                </c:pt>
              </c:numCache>
            </c:numRef>
          </c:xVal>
          <c:yVal>
            <c:numRef>
              <c:f>'Active 1'!$O$21:$O$807</c:f>
              <c:numCache>
                <c:formatCode>General</c:formatCode>
                <c:ptCount val="787"/>
                <c:pt idx="0">
                  <c:v>3.2082628896182297E-3</c:v>
                </c:pt>
                <c:pt idx="1">
                  <c:v>3.2082628896182297E-3</c:v>
                </c:pt>
                <c:pt idx="2">
                  <c:v>3.2521400370690429E-3</c:v>
                </c:pt>
                <c:pt idx="3">
                  <c:v>4.6474333260049091E-3</c:v>
                </c:pt>
                <c:pt idx="4">
                  <c:v>4.6474333260049091E-3</c:v>
                </c:pt>
                <c:pt idx="5">
                  <c:v>2.6682536775803394E-2</c:v>
                </c:pt>
                <c:pt idx="6">
                  <c:v>9.0962557791245E-2</c:v>
                </c:pt>
                <c:pt idx="7">
                  <c:v>9.0962557791245E-2</c:v>
                </c:pt>
                <c:pt idx="8">
                  <c:v>9.6657811530360585E-2</c:v>
                </c:pt>
                <c:pt idx="9">
                  <c:v>9.6763116684242534E-2</c:v>
                </c:pt>
                <c:pt idx="10">
                  <c:v>9.7000053280476922E-2</c:v>
                </c:pt>
                <c:pt idx="11">
                  <c:v>9.7860045370512877E-2</c:v>
                </c:pt>
                <c:pt idx="12">
                  <c:v>9.8746363749019295E-2</c:v>
                </c:pt>
                <c:pt idx="13">
                  <c:v>0.10467855408436927</c:v>
                </c:pt>
                <c:pt idx="14">
                  <c:v>0.10484528724468237</c:v>
                </c:pt>
                <c:pt idx="15">
                  <c:v>0.10487161353315284</c:v>
                </c:pt>
                <c:pt idx="16">
                  <c:v>0.10558242332185602</c:v>
                </c:pt>
                <c:pt idx="17">
                  <c:v>0.10690751317487059</c:v>
                </c:pt>
                <c:pt idx="18">
                  <c:v>0.11176910111242072</c:v>
                </c:pt>
                <c:pt idx="19">
                  <c:v>0.11204991485610592</c:v>
                </c:pt>
                <c:pt idx="20">
                  <c:v>0.11219909715743868</c:v>
                </c:pt>
                <c:pt idx="21">
                  <c:v>0.11267297034990748</c:v>
                </c:pt>
                <c:pt idx="22">
                  <c:v>0.11277827550378942</c:v>
                </c:pt>
                <c:pt idx="23">
                  <c:v>0.11282215265124024</c:v>
                </c:pt>
                <c:pt idx="24">
                  <c:v>0.11503356088276123</c:v>
                </c:pt>
                <c:pt idx="25">
                  <c:v>0.11996535225623266</c:v>
                </c:pt>
                <c:pt idx="26">
                  <c:v>0.12021983971144737</c:v>
                </c:pt>
                <c:pt idx="27">
                  <c:v>0.12047432716666209</c:v>
                </c:pt>
                <c:pt idx="28">
                  <c:v>0.12056208146156372</c:v>
                </c:pt>
                <c:pt idx="29">
                  <c:v>0.12078146719881779</c:v>
                </c:pt>
                <c:pt idx="30">
                  <c:v>0.12146595069905047</c:v>
                </c:pt>
                <c:pt idx="31">
                  <c:v>0.12724895873306769</c:v>
                </c:pt>
                <c:pt idx="32">
                  <c:v>0.12806507367565281</c:v>
                </c:pt>
                <c:pt idx="33">
                  <c:v>0.12883731147078711</c:v>
                </c:pt>
                <c:pt idx="34">
                  <c:v>0.13518194699217473</c:v>
                </c:pt>
                <c:pt idx="35">
                  <c:v>0.1370511134735794</c:v>
                </c:pt>
                <c:pt idx="36">
                  <c:v>0.15029323657423488</c:v>
                </c:pt>
                <c:pt idx="37">
                  <c:v>0.15029323657423488</c:v>
                </c:pt>
                <c:pt idx="38">
                  <c:v>0.15029323657423488</c:v>
                </c:pt>
                <c:pt idx="39">
                  <c:v>0.15289953913281318</c:v>
                </c:pt>
                <c:pt idx="40">
                  <c:v>0.15343484033171312</c:v>
                </c:pt>
                <c:pt idx="41">
                  <c:v>0.16063069251364651</c:v>
                </c:pt>
                <c:pt idx="42">
                  <c:v>0.16822143902263723</c:v>
                </c:pt>
                <c:pt idx="43">
                  <c:v>0.16822143902263723</c:v>
                </c:pt>
                <c:pt idx="44">
                  <c:v>0.16822143902263723</c:v>
                </c:pt>
                <c:pt idx="45">
                  <c:v>0.16857245620224373</c:v>
                </c:pt>
                <c:pt idx="46">
                  <c:v>0.16871286307408634</c:v>
                </c:pt>
                <c:pt idx="47">
                  <c:v>0.16918673626655512</c:v>
                </c:pt>
                <c:pt idx="48">
                  <c:v>0.16918673626655512</c:v>
                </c:pt>
                <c:pt idx="49">
                  <c:v>0.17522423175578702</c:v>
                </c:pt>
                <c:pt idx="50">
                  <c:v>0.17600524498041151</c:v>
                </c:pt>
                <c:pt idx="51">
                  <c:v>0.17636503758950819</c:v>
                </c:pt>
                <c:pt idx="52">
                  <c:v>0.17650544446135077</c:v>
                </c:pt>
                <c:pt idx="53">
                  <c:v>0.18342048289959897</c:v>
                </c:pt>
                <c:pt idx="54">
                  <c:v>0.18342048289959897</c:v>
                </c:pt>
                <c:pt idx="55">
                  <c:v>0.18342048289959897</c:v>
                </c:pt>
                <c:pt idx="56">
                  <c:v>0.19087959796623724</c:v>
                </c:pt>
                <c:pt idx="57">
                  <c:v>0.19208183180638955</c:v>
                </c:pt>
                <c:pt idx="58">
                  <c:v>0.20735107911927261</c:v>
                </c:pt>
                <c:pt idx="59">
                  <c:v>0.20829882550421017</c:v>
                </c:pt>
                <c:pt idx="60">
                  <c:v>0.21373959178811103</c:v>
                </c:pt>
                <c:pt idx="61">
                  <c:v>0.2143801981408929</c:v>
                </c:pt>
                <c:pt idx="62">
                  <c:v>0.2143801981408929</c:v>
                </c:pt>
                <c:pt idx="63">
                  <c:v>0.21525774108990917</c:v>
                </c:pt>
                <c:pt idx="64">
                  <c:v>0.22306787333615397</c:v>
                </c:pt>
                <c:pt idx="65">
                  <c:v>0.22364705168250471</c:v>
                </c:pt>
                <c:pt idx="66">
                  <c:v>0.22956169115887434</c:v>
                </c:pt>
                <c:pt idx="67">
                  <c:v>0.23882854470048612</c:v>
                </c:pt>
                <c:pt idx="68">
                  <c:v>0.23970608764950238</c:v>
                </c:pt>
                <c:pt idx="69">
                  <c:v>0.24599807059394904</c:v>
                </c:pt>
                <c:pt idx="70">
                  <c:v>0.24698969412633742</c:v>
                </c:pt>
                <c:pt idx="71">
                  <c:v>0.25350983823752826</c:v>
                </c:pt>
                <c:pt idx="72">
                  <c:v>0.25453656348787734</c:v>
                </c:pt>
                <c:pt idx="73">
                  <c:v>0.2547296229366609</c:v>
                </c:pt>
                <c:pt idx="74">
                  <c:v>0.2613375213427534</c:v>
                </c:pt>
                <c:pt idx="75">
                  <c:v>0.26378586617050875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9F-4094-8CE7-F61DB100979D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1'!$F$21:$F$87</c:f>
              <c:numCache>
                <c:formatCode>General</c:formatCode>
                <c:ptCount val="67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82</c:v>
                </c:pt>
                <c:pt idx="4">
                  <c:v>82</c:v>
                </c:pt>
                <c:pt idx="5">
                  <c:v>1337.5</c:v>
                </c:pt>
                <c:pt idx="6">
                  <c:v>5000</c:v>
                </c:pt>
                <c:pt idx="7">
                  <c:v>5000</c:v>
                </c:pt>
                <c:pt idx="8">
                  <c:v>5324.5</c:v>
                </c:pt>
                <c:pt idx="9">
                  <c:v>5330.5</c:v>
                </c:pt>
                <c:pt idx="10">
                  <c:v>5344</c:v>
                </c:pt>
                <c:pt idx="11">
                  <c:v>5393</c:v>
                </c:pt>
                <c:pt idx="12">
                  <c:v>5443.5</c:v>
                </c:pt>
                <c:pt idx="13">
                  <c:v>5781.5</c:v>
                </c:pt>
                <c:pt idx="14">
                  <c:v>5791</c:v>
                </c:pt>
                <c:pt idx="15">
                  <c:v>5792.5</c:v>
                </c:pt>
                <c:pt idx="16">
                  <c:v>5833</c:v>
                </c:pt>
                <c:pt idx="17">
                  <c:v>5908.5</c:v>
                </c:pt>
                <c:pt idx="18">
                  <c:v>6185.5</c:v>
                </c:pt>
                <c:pt idx="19">
                  <c:v>6201.5</c:v>
                </c:pt>
                <c:pt idx="20">
                  <c:v>6210</c:v>
                </c:pt>
                <c:pt idx="21">
                  <c:v>6237</c:v>
                </c:pt>
                <c:pt idx="22">
                  <c:v>6243</c:v>
                </c:pt>
                <c:pt idx="23">
                  <c:v>6245.5</c:v>
                </c:pt>
                <c:pt idx="24">
                  <c:v>6371.5</c:v>
                </c:pt>
                <c:pt idx="25">
                  <c:v>6652.5</c:v>
                </c:pt>
                <c:pt idx="26">
                  <c:v>6667</c:v>
                </c:pt>
                <c:pt idx="27">
                  <c:v>6681.5</c:v>
                </c:pt>
                <c:pt idx="28">
                  <c:v>6686.5</c:v>
                </c:pt>
                <c:pt idx="29">
                  <c:v>6699</c:v>
                </c:pt>
                <c:pt idx="30">
                  <c:v>6738</c:v>
                </c:pt>
                <c:pt idx="31">
                  <c:v>7067.5</c:v>
                </c:pt>
                <c:pt idx="32">
                  <c:v>7114</c:v>
                </c:pt>
                <c:pt idx="33">
                  <c:v>7158</c:v>
                </c:pt>
                <c:pt idx="34">
                  <c:v>7519.5</c:v>
                </c:pt>
                <c:pt idx="35">
                  <c:v>7626</c:v>
                </c:pt>
                <c:pt idx="36">
                  <c:v>8380.5</c:v>
                </c:pt>
                <c:pt idx="37">
                  <c:v>8380.5</c:v>
                </c:pt>
                <c:pt idx="38">
                  <c:v>8380.5</c:v>
                </c:pt>
                <c:pt idx="39">
                  <c:v>8529</c:v>
                </c:pt>
                <c:pt idx="40">
                  <c:v>8559.5</c:v>
                </c:pt>
                <c:pt idx="41">
                  <c:v>8969.5</c:v>
                </c:pt>
                <c:pt idx="42">
                  <c:v>9402</c:v>
                </c:pt>
                <c:pt idx="43">
                  <c:v>9402</c:v>
                </c:pt>
                <c:pt idx="44">
                  <c:v>9402</c:v>
                </c:pt>
                <c:pt idx="45">
                  <c:v>9422</c:v>
                </c:pt>
                <c:pt idx="46">
                  <c:v>9430</c:v>
                </c:pt>
                <c:pt idx="47">
                  <c:v>9457</c:v>
                </c:pt>
                <c:pt idx="48">
                  <c:v>9457</c:v>
                </c:pt>
                <c:pt idx="49">
                  <c:v>9801</c:v>
                </c:pt>
                <c:pt idx="50">
                  <c:v>9845.5</c:v>
                </c:pt>
                <c:pt idx="51">
                  <c:v>9866</c:v>
                </c:pt>
                <c:pt idx="52">
                  <c:v>9874</c:v>
                </c:pt>
                <c:pt idx="53">
                  <c:v>10268</c:v>
                </c:pt>
                <c:pt idx="54">
                  <c:v>10268</c:v>
                </c:pt>
                <c:pt idx="55">
                  <c:v>10268</c:v>
                </c:pt>
                <c:pt idx="56">
                  <c:v>10693</c:v>
                </c:pt>
                <c:pt idx="57">
                  <c:v>10761.5</c:v>
                </c:pt>
                <c:pt idx="58">
                  <c:v>11631.5</c:v>
                </c:pt>
                <c:pt idx="59">
                  <c:v>11685.5</c:v>
                </c:pt>
                <c:pt idx="60">
                  <c:v>11995.5</c:v>
                </c:pt>
                <c:pt idx="61">
                  <c:v>12032</c:v>
                </c:pt>
                <c:pt idx="62">
                  <c:v>12032</c:v>
                </c:pt>
                <c:pt idx="63">
                  <c:v>12082</c:v>
                </c:pt>
                <c:pt idx="64">
                  <c:v>12527</c:v>
                </c:pt>
                <c:pt idx="65">
                  <c:v>12560</c:v>
                </c:pt>
                <c:pt idx="66">
                  <c:v>12897</c:v>
                </c:pt>
              </c:numCache>
            </c:numRef>
          </c:xVal>
          <c:yVal>
            <c:numRef>
              <c:f>'Active 1'!$U$21:$U$87</c:f>
              <c:numCache>
                <c:formatCode>General</c:formatCode>
                <c:ptCount val="67"/>
                <c:pt idx="11">
                  <c:v>-7.6411999994888902E-2</c:v>
                </c:pt>
                <c:pt idx="51">
                  <c:v>4.105600000184495E-2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9F-4094-8CE7-F61DB100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43904"/>
        <c:axId val="1"/>
      </c:scatterChart>
      <c:valAx>
        <c:axId val="7271439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2818881385959"/>
              <c:y val="0.91222702177901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35737335340919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43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7508511900408"/>
          <c:y val="0.90909222554077285"/>
          <c:w val="0.7801864085874714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Peg - O-C Diagr.</a:t>
            </a:r>
          </a:p>
        </c:rich>
      </c:tx>
      <c:layout>
        <c:manualLayout>
          <c:xMode val="edge"/>
          <c:yMode val="edge"/>
          <c:x val="0.330661743434375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39297774550835"/>
          <c:y val="0.23584978088695488"/>
          <c:w val="0.74148369148814375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IBVS 3579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B!$H$21:$H$26</c:f>
              <c:numCache>
                <c:formatCode>General</c:formatCode>
                <c:ptCount val="6"/>
                <c:pt idx="0">
                  <c:v>-4.3646353879012167E-4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9-417E-9671-87454A51803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B!$I$21:$I$26</c:f>
              <c:numCache>
                <c:formatCode>General</c:formatCode>
                <c:ptCount val="6"/>
                <c:pt idx="1">
                  <c:v>-1.5995838984963484E-3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9-417E-9671-87454A518032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B!$J$21:$J$26</c:f>
              <c:numCache>
                <c:formatCode>General</c:formatCode>
                <c:ptCount val="6"/>
                <c:pt idx="3">
                  <c:v>-8.3626493869815022E-4</c:v>
                </c:pt>
                <c:pt idx="4">
                  <c:v>-2.4486602414981462E-3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9-417E-9671-87454A518032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B!$K$21:$K$26</c:f>
              <c:numCache>
                <c:formatCode>General</c:formatCode>
                <c:ptCount val="6"/>
                <c:pt idx="2">
                  <c:v>-4.6588545228587463E-4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9-417E-9671-87454A518032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B!$L$21:$L$26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9-417E-9671-87454A51803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B!$M$21:$M$26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9-417E-9671-87454A51803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B!$N$21:$N$26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9-417E-9671-87454A51803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B!$F$21:$F$26</c:f>
              <c:numCache>
                <c:formatCode>General</c:formatCode>
                <c:ptCount val="6"/>
                <c:pt idx="0">
                  <c:v>-5791</c:v>
                </c:pt>
                <c:pt idx="1">
                  <c:v>-4453.5</c:v>
                </c:pt>
                <c:pt idx="2">
                  <c:v>-791</c:v>
                </c:pt>
                <c:pt idx="3">
                  <c:v>-466.5</c:v>
                </c:pt>
                <c:pt idx="4">
                  <c:v>-460.5</c:v>
                </c:pt>
                <c:pt idx="5">
                  <c:v>0</c:v>
                </c:pt>
              </c:numCache>
            </c:numRef>
          </c:xVal>
          <c:yVal>
            <c:numRef>
              <c:f>B!$O$21:$O$26</c:f>
              <c:numCache>
                <c:formatCode>General</c:formatCode>
                <c:ptCount val="6"/>
                <c:pt idx="0">
                  <c:v>-9.6447634450893736E-4</c:v>
                </c:pt>
                <c:pt idx="1">
                  <c:v>-9.644763446683218E-4</c:v>
                </c:pt>
                <c:pt idx="2">
                  <c:v>-9.6447634510476706E-4</c:v>
                </c:pt>
                <c:pt idx="3">
                  <c:v>-9.6447634514343632E-4</c:v>
                </c:pt>
                <c:pt idx="4">
                  <c:v>-9.6447634514415135E-4</c:v>
                </c:pt>
                <c:pt idx="5">
                  <c:v>-9.6447634519902727E-4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9-417E-9671-87454A518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487128"/>
        <c:axId val="1"/>
      </c:scatterChart>
      <c:valAx>
        <c:axId val="369487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06254503758166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487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837696390155639"/>
          <c:y val="0.84905924495287144"/>
          <c:w val="0.87775635260021367"/>
          <c:h val="0.974845738622294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16</xdr:col>
      <xdr:colOff>581025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0C8257-04B0-AB15-5A4D-66FDD8BBA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0</xdr:row>
      <xdr:rowOff>0</xdr:rowOff>
    </xdr:from>
    <xdr:to>
      <xdr:col>26</xdr:col>
      <xdr:colOff>676275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E0BC2B1-3F4F-76C6-9D54-9F3B31F4B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FA0AC8F7-4CA3-FE50-F323-80241AA75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konkoly.hu/cgi-bin/IBVS?5898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3579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160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bav-astro.de/sfs/BAVM_link.php?BAVMnr=239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3579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aavso.org/sites/default/files/jaavso/v36n2/186.pdf" TargetMode="External"/><Relationship Id="rId29" Type="http://schemas.openxmlformats.org/officeDocument/2006/relationships/hyperlink" Target="http://www.konkoly.hu/cgi-bin/IBVS?5898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3579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konkoly.hu/cgi-bin/IBVS?5592" TargetMode="External"/><Relationship Id="rId24" Type="http://schemas.openxmlformats.org/officeDocument/2006/relationships/hyperlink" Target="http://www.konkoly.hu/cgi-bin/IBVS?5677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25" TargetMode="External"/><Relationship Id="rId40" Type="http://schemas.openxmlformats.org/officeDocument/2006/relationships/hyperlink" Target="http://www.konkoly.hu/cgi-bin/IBVS?6042" TargetMode="External"/><Relationship Id="rId45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aavso.org/sites/default/files/jaavso/v36n2/186.pdf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bav-astro.de/sfs/BAVM_link.php?BAVMnr=183" TargetMode="External"/><Relationship Id="rId36" Type="http://schemas.openxmlformats.org/officeDocument/2006/relationships/hyperlink" Target="http://www.konkoly.hu/cgi-bin/IBVS?6011" TargetMode="External"/><Relationship Id="rId49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konkoly.hu/cgi-bin/IBVS?5920" TargetMode="External"/><Relationship Id="rId44" Type="http://schemas.openxmlformats.org/officeDocument/2006/relationships/hyperlink" Target="http://vsolj.cetus-net.org/no40.pdf" TargetMode="External"/><Relationship Id="rId4" Type="http://schemas.openxmlformats.org/officeDocument/2006/relationships/hyperlink" Target="http://www.konkoly.hu/cgi-bin/IBVS?3579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5676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183" TargetMode="External"/><Relationship Id="rId30" Type="http://schemas.openxmlformats.org/officeDocument/2006/relationships/hyperlink" Target="http://www.konkoly.hu/cgi-bin/IBVS?6007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583" TargetMode="External"/><Relationship Id="rId51" Type="http://schemas.openxmlformats.org/officeDocument/2006/relationships/hyperlink" Target="http://vsolj.cetus-net.org/vsoljno5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7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5.71093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71093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5</v>
      </c>
      <c r="B5"/>
      <c r="C5" s="8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1">
        <v>48158.5674</v>
      </c>
      <c r="D7" s="9" t="s">
        <v>9</v>
      </c>
    </row>
    <row r="8" spans="1:6">
      <c r="A8" s="1" t="s">
        <v>10</v>
      </c>
      <c r="C8" s="1">
        <v>0.816384</v>
      </c>
      <c r="D8" s="10">
        <v>3579</v>
      </c>
    </row>
    <row r="9" spans="1:6">
      <c r="A9" s="11" t="s">
        <v>11</v>
      </c>
      <c r="B9" s="12">
        <v>33</v>
      </c>
      <c r="C9" s="13" t="str">
        <f>"F"&amp;B9</f>
        <v>F33</v>
      </c>
      <c r="D9" s="14" t="str">
        <f>"G"&amp;B9</f>
        <v>G33</v>
      </c>
    </row>
    <row r="10" spans="1:6">
      <c r="A10"/>
      <c r="B10"/>
      <c r="C10" s="15" t="s">
        <v>12</v>
      </c>
      <c r="D10" s="15" t="s">
        <v>13</v>
      </c>
      <c r="E10"/>
    </row>
    <row r="11" spans="1:6">
      <c r="A11" t="s">
        <v>14</v>
      </c>
      <c r="B11"/>
      <c r="C11" s="16">
        <f ca="1">INTERCEPT(INDIRECT($D$9):G987,INDIRECT($C$9):F987)</f>
        <v>3.2082628896182297E-3</v>
      </c>
      <c r="D11" s="17"/>
      <c r="E11"/>
    </row>
    <row r="12" spans="1:6">
      <c r="A12" t="s">
        <v>15</v>
      </c>
      <c r="B12"/>
      <c r="C12" s="16">
        <f ca="1">SLOPE(INDIRECT($D$9):G987,INDIRECT($C$9):F987)</f>
        <v>1.7550858980325355E-5</v>
      </c>
      <c r="D12" s="17"/>
      <c r="E12" s="97" t="s">
        <v>309</v>
      </c>
      <c r="F12" s="99" t="s">
        <v>312</v>
      </c>
    </row>
    <row r="13" spans="1:6">
      <c r="A13" t="s">
        <v>16</v>
      </c>
      <c r="B13"/>
      <c r="C13" s="17" t="s">
        <v>4</v>
      </c>
      <c r="E13" s="95" t="s">
        <v>18</v>
      </c>
      <c r="F13" s="98">
        <v>1</v>
      </c>
    </row>
    <row r="14" spans="1:6">
      <c r="A14"/>
      <c r="B14"/>
      <c r="C14"/>
      <c r="E14" s="95" t="s">
        <v>20</v>
      </c>
      <c r="F14" s="100">
        <f ca="1">NOW()+15018.5+$C$5/24</f>
        <v>60581.768830439811</v>
      </c>
    </row>
    <row r="15" spans="1:6">
      <c r="A15" s="18" t="s">
        <v>17</v>
      </c>
      <c r="B15"/>
      <c r="C15" s="19">
        <f ca="1">(C7+C11)+(C8+C12)*INT(MAX(F21:F3528))</f>
        <v>60279.684433866169</v>
      </c>
      <c r="E15" s="95" t="s">
        <v>22</v>
      </c>
      <c r="F15" s="100">
        <f ca="1">ROUND(2*($F$14-$C$7)/$C$8,0)/2+$F$13</f>
        <v>15218.5</v>
      </c>
    </row>
    <row r="16" spans="1:6">
      <c r="A16" s="18" t="s">
        <v>19</v>
      </c>
      <c r="B16"/>
      <c r="C16" s="19">
        <f ca="1">+C8+C12</f>
        <v>0.81640155085898036</v>
      </c>
      <c r="E16" s="95" t="s">
        <v>24</v>
      </c>
      <c r="F16" s="100">
        <f ca="1">ROUND(2*($F$14-$C$15)/$C$16,0)/2+$F$13</f>
        <v>371</v>
      </c>
    </row>
    <row r="17" spans="1:30">
      <c r="A17" s="11" t="s">
        <v>21</v>
      </c>
      <c r="B17"/>
      <c r="C17">
        <f>COUNT(C21:C2186)</f>
        <v>76</v>
      </c>
      <c r="E17" s="95" t="s">
        <v>310</v>
      </c>
      <c r="F17" s="101">
        <f ca="1">+$C$15+$C$16*$F$16-15018.5-$C$5/24</f>
        <v>45564.465242568185</v>
      </c>
    </row>
    <row r="18" spans="1:30">
      <c r="A18" s="18" t="s">
        <v>23</v>
      </c>
      <c r="B18"/>
      <c r="C18" s="20">
        <f ca="1">+C15</f>
        <v>60279.684433866169</v>
      </c>
      <c r="D18" s="94">
        <f ca="1">+C16</f>
        <v>0.81640155085898036</v>
      </c>
      <c r="E18" s="96" t="s">
        <v>311</v>
      </c>
      <c r="F18" s="102">
        <f ca="1">+($C$15+$C$16*$F$16)-($C$16/2)-15018.5-$C$5/24</f>
        <v>45564.057041792759</v>
      </c>
    </row>
    <row r="19" spans="1:30">
      <c r="E19" s="11"/>
      <c r="F19" s="21"/>
    </row>
    <row r="20" spans="1:30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302</v>
      </c>
      <c r="M20" s="22" t="s">
        <v>36</v>
      </c>
      <c r="N20" s="22" t="s">
        <v>37</v>
      </c>
      <c r="O20" s="22" t="s">
        <v>38</v>
      </c>
      <c r="P20" s="22" t="s">
        <v>39</v>
      </c>
      <c r="Q20" s="15" t="s">
        <v>40</v>
      </c>
      <c r="U20" s="23" t="s">
        <v>41</v>
      </c>
    </row>
    <row r="21" spans="1:30">
      <c r="A21" s="1" t="s">
        <v>42</v>
      </c>
      <c r="C21" s="1">
        <v>48158.5674</v>
      </c>
      <c r="D21" s="1" t="s">
        <v>4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31" si="2">+C21-(C$7+F21*C$8)</f>
        <v>0</v>
      </c>
      <c r="J21" s="1">
        <f>+G21</f>
        <v>0</v>
      </c>
      <c r="O21" s="1">
        <f t="shared" ref="O21:O52" ca="1" si="3">+C$11+C$12*F21</f>
        <v>3.2082628896182297E-3</v>
      </c>
      <c r="Q21" s="75">
        <f t="shared" ref="Q21:Q52" si="4">+C21-15018.5</f>
        <v>33140.0674</v>
      </c>
    </row>
    <row r="22" spans="1:30">
      <c r="A22" s="26" t="s">
        <v>42</v>
      </c>
      <c r="B22" s="27" t="s">
        <v>43</v>
      </c>
      <c r="C22" s="37">
        <v>48158.568500000001</v>
      </c>
      <c r="D22" s="37">
        <v>3.5799999999999997E-4</v>
      </c>
      <c r="E22" s="28">
        <f t="shared" si="0"/>
        <v>1.347405144289321E-3</v>
      </c>
      <c r="F22" s="28">
        <f t="shared" si="1"/>
        <v>0</v>
      </c>
      <c r="G22" s="28">
        <f t="shared" si="2"/>
        <v>1.1000000013154931E-3</v>
      </c>
      <c r="H22" s="29"/>
      <c r="I22" s="29"/>
      <c r="J22" s="30">
        <f>G22</f>
        <v>1.1000000013154931E-3</v>
      </c>
      <c r="L22" s="28"/>
      <c r="M22" s="28"/>
      <c r="N22" s="28"/>
      <c r="O22" s="28">
        <f t="shared" ca="1" si="3"/>
        <v>3.2082628896182297E-3</v>
      </c>
      <c r="P22" s="28"/>
      <c r="Q22" s="76">
        <f t="shared" si="4"/>
        <v>33140.068500000001</v>
      </c>
    </row>
    <row r="23" spans="1:30">
      <c r="A23" s="26" t="s">
        <v>42</v>
      </c>
      <c r="B23" s="27" t="s">
        <v>44</v>
      </c>
      <c r="C23" s="37">
        <v>48160.607499999998</v>
      </c>
      <c r="D23" s="37">
        <v>4.0900000000000002E-4</v>
      </c>
      <c r="E23" s="28">
        <f t="shared" si="0"/>
        <v>2.4989465741591541</v>
      </c>
      <c r="F23" s="28">
        <f t="shared" si="1"/>
        <v>2.5</v>
      </c>
      <c r="G23" s="28">
        <f t="shared" si="2"/>
        <v>-8.6000000010244548E-4</v>
      </c>
      <c r="H23" s="29"/>
      <c r="I23" s="29"/>
      <c r="J23" s="30">
        <f>G23</f>
        <v>-8.6000000010244548E-4</v>
      </c>
      <c r="L23" s="28"/>
      <c r="M23" s="28"/>
      <c r="N23" s="28"/>
      <c r="O23" s="28">
        <f t="shared" ca="1" si="3"/>
        <v>3.2521400370690429E-3</v>
      </c>
      <c r="P23" s="28"/>
      <c r="Q23" s="76">
        <f t="shared" si="4"/>
        <v>33142.107499999998</v>
      </c>
    </row>
    <row r="24" spans="1:30">
      <c r="A24" s="26" t="s">
        <v>42</v>
      </c>
      <c r="B24" s="27" t="s">
        <v>43</v>
      </c>
      <c r="C24" s="37">
        <v>48225.509899999997</v>
      </c>
      <c r="D24" s="37">
        <v>6.9700000000000003E-4</v>
      </c>
      <c r="E24" s="28">
        <f t="shared" si="0"/>
        <v>81.99878978519591</v>
      </c>
      <c r="F24" s="28">
        <f t="shared" si="1"/>
        <v>82</v>
      </c>
      <c r="G24" s="28">
        <f t="shared" si="2"/>
        <v>-9.8799999977927655E-4</v>
      </c>
      <c r="H24" s="29"/>
      <c r="I24" s="29"/>
      <c r="J24" s="30">
        <f>G24</f>
        <v>-9.8799999977927655E-4</v>
      </c>
      <c r="L24" s="28"/>
      <c r="M24" s="28"/>
      <c r="N24" s="28"/>
      <c r="O24" s="28">
        <f t="shared" ca="1" si="3"/>
        <v>4.6474333260049091E-3</v>
      </c>
      <c r="P24" s="28"/>
      <c r="Q24" s="76">
        <f t="shared" si="4"/>
        <v>33207.009899999997</v>
      </c>
    </row>
    <row r="25" spans="1:30" s="28" customFormat="1">
      <c r="A25" s="26" t="s">
        <v>42</v>
      </c>
      <c r="B25" s="27" t="s">
        <v>43</v>
      </c>
      <c r="C25" s="37">
        <v>48225.512199999997</v>
      </c>
      <c r="D25" s="37">
        <v>2.7599999999999999E-4</v>
      </c>
      <c r="E25" s="28">
        <f t="shared" si="0"/>
        <v>82.001607086858002</v>
      </c>
      <c r="F25" s="28">
        <f t="shared" si="1"/>
        <v>82</v>
      </c>
      <c r="G25" s="28">
        <f t="shared" si="2"/>
        <v>1.3120000003254972E-3</v>
      </c>
      <c r="H25" s="29"/>
      <c r="I25" s="29"/>
      <c r="J25" s="30">
        <f>G25</f>
        <v>1.3120000003254972E-3</v>
      </c>
      <c r="K25" s="1"/>
      <c r="O25" s="28">
        <f t="shared" ca="1" si="3"/>
        <v>4.6474333260049091E-3</v>
      </c>
      <c r="Q25" s="76">
        <f t="shared" si="4"/>
        <v>33207.012199999997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8" customFormat="1">
      <c r="A26" s="28" t="s">
        <v>45</v>
      </c>
      <c r="B26" s="30" t="s">
        <v>44</v>
      </c>
      <c r="C26" s="28">
        <v>49250.504000000001</v>
      </c>
      <c r="E26" s="1">
        <f t="shared" si="0"/>
        <v>1337.5281730166207</v>
      </c>
      <c r="F26" s="1">
        <f t="shared" si="1"/>
        <v>1337.5</v>
      </c>
      <c r="G26" s="1">
        <f t="shared" si="2"/>
        <v>2.3000000001047738E-2</v>
      </c>
      <c r="H26" s="1"/>
      <c r="I26" s="1">
        <f>G26</f>
        <v>2.3000000001047738E-2</v>
      </c>
      <c r="J26" s="1"/>
      <c r="K26" s="1"/>
      <c r="L26" s="1"/>
      <c r="M26" s="1"/>
      <c r="N26" s="1"/>
      <c r="O26" s="1">
        <f t="shared" ca="1" si="3"/>
        <v>2.6682536775803394E-2</v>
      </c>
      <c r="P26" s="1"/>
      <c r="Q26" s="75">
        <f t="shared" si="4"/>
        <v>34232.004000000001</v>
      </c>
      <c r="R26" s="1"/>
      <c r="S26" s="1"/>
      <c r="T26" s="1"/>
      <c r="U26" s="1"/>
      <c r="V26" s="1"/>
      <c r="W26" s="1"/>
      <c r="X26" s="1"/>
      <c r="Y26" s="1"/>
      <c r="Z26" s="1"/>
      <c r="AA26" s="1">
        <v>20</v>
      </c>
      <c r="AB26" s="1" t="s">
        <v>46</v>
      </c>
      <c r="AC26" s="1"/>
      <c r="AD26" s="1" t="s">
        <v>47</v>
      </c>
    </row>
    <row r="27" spans="1:30" s="28" customFormat="1">
      <c r="A27" s="28" t="s">
        <v>48</v>
      </c>
      <c r="C27" s="28">
        <v>52240.577700000002</v>
      </c>
      <c r="E27" s="1">
        <f t="shared" si="0"/>
        <v>5000.1106097130787</v>
      </c>
      <c r="F27" s="1">
        <f t="shared" si="1"/>
        <v>5000</v>
      </c>
      <c r="G27" s="1">
        <f t="shared" si="2"/>
        <v>9.0300000003480818E-2</v>
      </c>
      <c r="H27" s="1"/>
      <c r="I27" s="1"/>
      <c r="J27" s="1"/>
      <c r="K27" s="1">
        <f>G27</f>
        <v>9.0300000003480818E-2</v>
      </c>
      <c r="L27" s="1"/>
      <c r="M27" s="1"/>
      <c r="N27" s="1"/>
      <c r="O27" s="1">
        <f t="shared" ca="1" si="3"/>
        <v>9.0962557791245E-2</v>
      </c>
      <c r="P27" s="1"/>
      <c r="Q27" s="75">
        <f t="shared" si="4"/>
        <v>37222.077700000002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8" customFormat="1">
      <c r="A28" s="32" t="s">
        <v>49</v>
      </c>
      <c r="B28" s="30" t="s">
        <v>43</v>
      </c>
      <c r="C28" s="28">
        <v>52240.577700000002</v>
      </c>
      <c r="D28" s="28">
        <v>2.9999999999999997E-4</v>
      </c>
      <c r="E28" s="28">
        <f t="shared" si="0"/>
        <v>5000.1106097130787</v>
      </c>
      <c r="F28" s="28">
        <f t="shared" si="1"/>
        <v>5000</v>
      </c>
      <c r="G28" s="28">
        <f t="shared" si="2"/>
        <v>9.0300000003480818E-2</v>
      </c>
      <c r="H28" s="29"/>
      <c r="I28" s="29"/>
      <c r="J28" s="1"/>
      <c r="K28" s="30">
        <f>G28</f>
        <v>9.0300000003480818E-2</v>
      </c>
      <c r="N28" s="30"/>
      <c r="O28" s="28">
        <f t="shared" ca="1" si="3"/>
        <v>9.0962557791245E-2</v>
      </c>
      <c r="Q28" s="76">
        <f t="shared" si="4"/>
        <v>37222.077700000002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28" t="s">
        <v>50</v>
      </c>
      <c r="B29" s="31"/>
      <c r="C29" s="28">
        <v>52505.499799999998</v>
      </c>
      <c r="D29" s="28">
        <v>1.1999999999999999E-3</v>
      </c>
      <c r="E29" s="28">
        <f t="shared" si="0"/>
        <v>5324.6173369394764</v>
      </c>
      <c r="F29" s="28">
        <f t="shared" si="1"/>
        <v>5324.5</v>
      </c>
      <c r="G29" s="28">
        <f t="shared" si="2"/>
        <v>9.579200000007404E-2</v>
      </c>
      <c r="H29" s="29"/>
      <c r="I29" s="29"/>
      <c r="J29" s="30">
        <f>G29</f>
        <v>9.579200000007404E-2</v>
      </c>
      <c r="K29" s="28"/>
      <c r="L29" s="28"/>
      <c r="M29" s="28"/>
      <c r="N29" s="28"/>
      <c r="O29" s="28">
        <f t="shared" ca="1" si="3"/>
        <v>9.6657811530360585E-2</v>
      </c>
      <c r="P29" s="28"/>
      <c r="Q29" s="76">
        <f t="shared" si="4"/>
        <v>37486.999799999998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s="28" customFormat="1">
      <c r="A30" s="28" t="s">
        <v>50</v>
      </c>
      <c r="B30" s="29"/>
      <c r="C30" s="28">
        <v>52510.3966</v>
      </c>
      <c r="D30" s="28">
        <v>1.8E-3</v>
      </c>
      <c r="E30" s="28">
        <f t="shared" si="0"/>
        <v>5330.6154946691759</v>
      </c>
      <c r="F30" s="28">
        <f t="shared" si="1"/>
        <v>5330.5</v>
      </c>
      <c r="G30" s="28">
        <f t="shared" si="2"/>
        <v>9.4288000000233296E-2</v>
      </c>
      <c r="H30" s="29"/>
      <c r="I30" s="29"/>
      <c r="J30" s="30">
        <f>G30</f>
        <v>9.4288000000233296E-2</v>
      </c>
      <c r="O30" s="28">
        <f t="shared" ca="1" si="3"/>
        <v>9.6763116684242534E-2</v>
      </c>
      <c r="Q30" s="76">
        <f t="shared" si="4"/>
        <v>37491.8966</v>
      </c>
      <c r="R30" s="1"/>
    </row>
    <row r="31" spans="1:30">
      <c r="A31" s="33" t="s">
        <v>51</v>
      </c>
      <c r="B31" s="34" t="s">
        <v>43</v>
      </c>
      <c r="C31" s="84">
        <v>52521.422299999998</v>
      </c>
      <c r="D31" s="84">
        <v>4.4000000000000003E-3</v>
      </c>
      <c r="E31" s="28">
        <f t="shared" si="0"/>
        <v>5344.1210263797411</v>
      </c>
      <c r="F31" s="28">
        <f t="shared" si="1"/>
        <v>5344</v>
      </c>
      <c r="G31" s="28">
        <f t="shared" si="2"/>
        <v>9.8804000001109671E-2</v>
      </c>
      <c r="H31" s="29"/>
      <c r="I31" s="29"/>
      <c r="J31" s="30"/>
      <c r="K31" s="30">
        <f>G31</f>
        <v>9.8804000001109671E-2</v>
      </c>
      <c r="L31" s="28"/>
      <c r="M31" s="28"/>
      <c r="N31" s="28"/>
      <c r="O31" s="28">
        <f t="shared" ca="1" si="3"/>
        <v>9.7000053280476922E-2</v>
      </c>
      <c r="P31" s="28"/>
      <c r="Q31" s="76">
        <f t="shared" si="4"/>
        <v>37502.922299999998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>
      <c r="A32" s="35" t="s">
        <v>52</v>
      </c>
      <c r="B32" s="36" t="s">
        <v>43</v>
      </c>
      <c r="C32" s="35">
        <v>52561.249900000003</v>
      </c>
      <c r="D32" s="28"/>
      <c r="E32" s="28">
        <f t="shared" si="0"/>
        <v>5392.9064018893105</v>
      </c>
      <c r="F32" s="28">
        <f t="shared" si="1"/>
        <v>5393</v>
      </c>
      <c r="H32" s="29"/>
      <c r="I32" s="29"/>
      <c r="K32" s="30"/>
      <c r="M32" s="30"/>
      <c r="N32" s="28"/>
      <c r="O32" s="28">
        <f t="shared" ca="1" si="3"/>
        <v>9.7860045370512877E-2</v>
      </c>
      <c r="P32" s="28"/>
      <c r="Q32" s="76">
        <f t="shared" si="4"/>
        <v>37542.749900000003</v>
      </c>
      <c r="U32" s="28">
        <f>+C32-(C$7+F32*C$8)</f>
        <v>-7.6411999994888902E-2</v>
      </c>
    </row>
    <row r="33" spans="1:30">
      <c r="A33" s="32" t="s">
        <v>49</v>
      </c>
      <c r="B33" s="30" t="s">
        <v>44</v>
      </c>
      <c r="C33" s="28">
        <v>52602.652999999998</v>
      </c>
      <c r="D33" s="28">
        <v>5.0000000000000001E-3</v>
      </c>
      <c r="E33" s="28">
        <f t="shared" si="0"/>
        <v>5443.6216290373141</v>
      </c>
      <c r="F33" s="28">
        <f t="shared" si="1"/>
        <v>5443.5</v>
      </c>
      <c r="G33" s="28">
        <f t="shared" ref="G33:G71" si="5">+C33-(C$7+F33*C$8)</f>
        <v>9.9296000000322238E-2</v>
      </c>
      <c r="H33" s="29"/>
      <c r="I33" s="29"/>
      <c r="K33" s="30">
        <f>G33</f>
        <v>9.9296000000322238E-2</v>
      </c>
      <c r="L33" s="28"/>
      <c r="M33" s="28"/>
      <c r="N33" s="30"/>
      <c r="O33" s="28">
        <f t="shared" ca="1" si="3"/>
        <v>9.8746363749019295E-2</v>
      </c>
      <c r="P33" s="28"/>
      <c r="Q33" s="76">
        <f t="shared" si="4"/>
        <v>37584.152999999998</v>
      </c>
    </row>
    <row r="34" spans="1:30">
      <c r="A34" s="37" t="s">
        <v>53</v>
      </c>
      <c r="B34" s="29"/>
      <c r="C34" s="28">
        <v>52878.596599999997</v>
      </c>
      <c r="D34" s="28">
        <v>4.0000000000000002E-4</v>
      </c>
      <c r="E34" s="28">
        <f t="shared" si="0"/>
        <v>5781.628743336466</v>
      </c>
      <c r="F34" s="28">
        <f t="shared" si="1"/>
        <v>5781.5</v>
      </c>
      <c r="G34" s="28">
        <f t="shared" si="5"/>
        <v>0.10510399999475339</v>
      </c>
      <c r="H34" s="29"/>
      <c r="I34" s="29"/>
      <c r="J34" s="30">
        <f>G34</f>
        <v>0.10510399999475339</v>
      </c>
      <c r="K34" s="28"/>
      <c r="L34" s="28"/>
      <c r="M34" s="28"/>
      <c r="N34" s="28"/>
      <c r="O34" s="28">
        <f t="shared" ca="1" si="3"/>
        <v>0.10467855408436927</v>
      </c>
      <c r="P34" s="28"/>
      <c r="Q34" s="76">
        <f t="shared" si="4"/>
        <v>37860.096599999997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>
      <c r="A35" s="26" t="s">
        <v>54</v>
      </c>
      <c r="B35" s="28"/>
      <c r="C35" s="85">
        <v>52886.352200000001</v>
      </c>
      <c r="D35" s="85">
        <v>2.0000000000000001E-4</v>
      </c>
      <c r="E35" s="28">
        <f t="shared" si="0"/>
        <v>5791.1286845406103</v>
      </c>
      <c r="F35" s="28">
        <f t="shared" si="1"/>
        <v>5791</v>
      </c>
      <c r="G35" s="28">
        <f t="shared" si="5"/>
        <v>0.10505600000033155</v>
      </c>
      <c r="H35" s="28"/>
      <c r="I35" s="28"/>
      <c r="J35" s="28"/>
      <c r="K35" s="30">
        <f>G35</f>
        <v>0.10505600000033155</v>
      </c>
      <c r="L35" s="28"/>
      <c r="M35" s="28"/>
      <c r="N35" s="28"/>
      <c r="O35" s="28">
        <f t="shared" ca="1" si="3"/>
        <v>0.10484528724468237</v>
      </c>
      <c r="P35" s="28"/>
      <c r="Q35" s="76">
        <f t="shared" si="4"/>
        <v>37867.852200000001</v>
      </c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>
      <c r="A36" s="37" t="s">
        <v>53</v>
      </c>
      <c r="B36" s="29"/>
      <c r="C36" s="28">
        <v>52887.5769</v>
      </c>
      <c r="D36" s="28">
        <v>1.4E-3</v>
      </c>
      <c r="E36" s="28">
        <f t="shared" si="0"/>
        <v>5792.6288364299153</v>
      </c>
      <c r="F36" s="28">
        <f t="shared" si="1"/>
        <v>5792.5</v>
      </c>
      <c r="G36" s="28">
        <f t="shared" si="5"/>
        <v>0.10517999999865424</v>
      </c>
      <c r="H36" s="29"/>
      <c r="I36" s="29"/>
      <c r="J36" s="30">
        <f>G36</f>
        <v>0.10517999999865424</v>
      </c>
      <c r="K36" s="28"/>
      <c r="L36" s="28"/>
      <c r="M36" s="28"/>
      <c r="N36" s="28"/>
      <c r="O36" s="28">
        <f t="shared" ca="1" si="3"/>
        <v>0.10487161353315284</v>
      </c>
      <c r="P36" s="28"/>
      <c r="Q36" s="76">
        <f t="shared" si="4"/>
        <v>37869.0769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>
      <c r="A37" s="32" t="s">
        <v>49</v>
      </c>
      <c r="B37" s="30" t="s">
        <v>43</v>
      </c>
      <c r="C37" s="28">
        <v>52920.639999999999</v>
      </c>
      <c r="D37" s="28">
        <v>1E-3</v>
      </c>
      <c r="E37" s="28">
        <f t="shared" si="0"/>
        <v>5833.1282827688929</v>
      </c>
      <c r="F37" s="28">
        <f t="shared" si="1"/>
        <v>5833</v>
      </c>
      <c r="G37" s="28">
        <f t="shared" si="5"/>
        <v>0.10472799999843119</v>
      </c>
      <c r="H37" s="29"/>
      <c r="I37" s="29"/>
      <c r="K37" s="30">
        <f>G37</f>
        <v>0.10472799999843119</v>
      </c>
      <c r="L37" s="28"/>
      <c r="M37" s="28"/>
      <c r="N37" s="30"/>
      <c r="O37" s="28">
        <f t="shared" ca="1" si="3"/>
        <v>0.10558242332185602</v>
      </c>
      <c r="P37" s="28"/>
      <c r="Q37" s="76">
        <f t="shared" si="4"/>
        <v>37902.14</v>
      </c>
    </row>
    <row r="38" spans="1:30">
      <c r="A38" s="38" t="s">
        <v>55</v>
      </c>
      <c r="B38" s="39" t="s">
        <v>44</v>
      </c>
      <c r="C38" s="29">
        <v>52982.277499999997</v>
      </c>
      <c r="D38" s="29">
        <v>1E-4</v>
      </c>
      <c r="E38" s="28">
        <f t="shared" si="0"/>
        <v>5908.6289050250825</v>
      </c>
      <c r="F38" s="28">
        <f t="shared" si="1"/>
        <v>5908.5</v>
      </c>
      <c r="G38" s="28">
        <f t="shared" si="5"/>
        <v>0.10523599999578437</v>
      </c>
      <c r="H38" s="29"/>
      <c r="I38" s="29"/>
      <c r="J38" s="30"/>
      <c r="K38" s="30">
        <f>G38</f>
        <v>0.10523599999578437</v>
      </c>
      <c r="L38" s="28"/>
      <c r="M38" s="28"/>
      <c r="N38" s="28"/>
      <c r="O38" s="28">
        <f t="shared" ca="1" si="3"/>
        <v>0.10690751317487059</v>
      </c>
      <c r="P38" s="28"/>
      <c r="Q38" s="76">
        <f t="shared" si="4"/>
        <v>37963.777499999997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s="28" customFormat="1">
      <c r="A39" s="38" t="s">
        <v>56</v>
      </c>
      <c r="B39" s="39" t="s">
        <v>44</v>
      </c>
      <c r="C39" s="29">
        <v>53208.420899999997</v>
      </c>
      <c r="D39" s="29">
        <v>2.0000000000000001E-4</v>
      </c>
      <c r="E39" s="28">
        <f t="shared" si="0"/>
        <v>6185.6350687911536</v>
      </c>
      <c r="F39" s="28">
        <f t="shared" si="1"/>
        <v>6185.5</v>
      </c>
      <c r="G39" s="28">
        <f t="shared" si="5"/>
        <v>0.11026799999672221</v>
      </c>
      <c r="H39" s="29"/>
      <c r="I39" s="29"/>
      <c r="J39" s="30"/>
      <c r="K39" s="30">
        <f>G39</f>
        <v>0.11026799999672221</v>
      </c>
      <c r="O39" s="28">
        <f t="shared" ca="1" si="3"/>
        <v>0.11176910111242072</v>
      </c>
      <c r="Q39" s="76">
        <f t="shared" si="4"/>
        <v>38189.920899999997</v>
      </c>
      <c r="R39" s="1"/>
    </row>
    <row r="40" spans="1:30" s="28" customFormat="1">
      <c r="A40" s="37" t="s">
        <v>57</v>
      </c>
      <c r="B40" s="39"/>
      <c r="C40" s="28">
        <v>53221.485000000001</v>
      </c>
      <c r="D40" s="28">
        <v>2.3999999999999998E-3</v>
      </c>
      <c r="E40" s="28">
        <f t="shared" si="0"/>
        <v>6201.6374647224848</v>
      </c>
      <c r="F40" s="28">
        <f t="shared" si="1"/>
        <v>6201.5</v>
      </c>
      <c r="G40" s="28">
        <f t="shared" si="5"/>
        <v>0.11222399999678601</v>
      </c>
      <c r="H40" s="29"/>
      <c r="I40" s="29"/>
      <c r="J40" s="30">
        <f>G40</f>
        <v>0.11222399999678601</v>
      </c>
      <c r="O40" s="28">
        <f t="shared" ca="1" si="3"/>
        <v>0.11204991485610592</v>
      </c>
      <c r="Q40" s="76">
        <f t="shared" si="4"/>
        <v>38202.985000000001</v>
      </c>
      <c r="R40" s="1"/>
    </row>
    <row r="41" spans="1:30" s="28" customFormat="1">
      <c r="A41" s="37" t="s">
        <v>57</v>
      </c>
      <c r="B41" s="39"/>
      <c r="C41" s="28">
        <v>53228.428399999997</v>
      </c>
      <c r="D41" s="28">
        <v>1E-3</v>
      </c>
      <c r="E41" s="28">
        <f t="shared" si="0"/>
        <v>6210.1425309658161</v>
      </c>
      <c r="F41" s="28">
        <f t="shared" si="1"/>
        <v>6210</v>
      </c>
      <c r="G41" s="28">
        <f t="shared" si="5"/>
        <v>0.11635999999998603</v>
      </c>
      <c r="H41" s="29"/>
      <c r="I41" s="29"/>
      <c r="J41" s="30">
        <f>G41</f>
        <v>0.11635999999998603</v>
      </c>
      <c r="O41" s="28">
        <f t="shared" ca="1" si="3"/>
        <v>0.11219909715743868</v>
      </c>
      <c r="Q41" s="76">
        <f t="shared" si="4"/>
        <v>38209.928399999997</v>
      </c>
      <c r="R41" s="1"/>
    </row>
    <row r="42" spans="1:30" s="28" customFormat="1">
      <c r="A42" s="37" t="s">
        <v>57</v>
      </c>
      <c r="B42" s="39"/>
      <c r="C42" s="28">
        <v>53250.466099999998</v>
      </c>
      <c r="D42" s="28">
        <v>1E-4</v>
      </c>
      <c r="E42" s="28">
        <f t="shared" si="0"/>
        <v>6237.1368130683577</v>
      </c>
      <c r="F42" s="28">
        <f t="shared" si="1"/>
        <v>6237</v>
      </c>
      <c r="G42" s="28">
        <f t="shared" si="5"/>
        <v>0.11169199999858392</v>
      </c>
      <c r="H42" s="29"/>
      <c r="I42" s="29"/>
      <c r="J42" s="30">
        <f>G42</f>
        <v>0.11169199999858392</v>
      </c>
      <c r="O42" s="28">
        <f t="shared" ca="1" si="3"/>
        <v>0.11267297034990748</v>
      </c>
      <c r="Q42" s="76">
        <f t="shared" si="4"/>
        <v>38231.966099999998</v>
      </c>
      <c r="R42" s="1"/>
    </row>
    <row r="43" spans="1:30" s="28" customFormat="1">
      <c r="A43" s="37" t="s">
        <v>57</v>
      </c>
      <c r="B43" s="39"/>
      <c r="C43" s="28">
        <v>53255.366300000002</v>
      </c>
      <c r="D43" s="28">
        <v>2E-3</v>
      </c>
      <c r="E43" s="28">
        <f t="shared" si="0"/>
        <v>6243.1391355048627</v>
      </c>
      <c r="F43" s="28">
        <f t="shared" si="1"/>
        <v>6243</v>
      </c>
      <c r="G43" s="28">
        <f t="shared" si="5"/>
        <v>0.11358800000016345</v>
      </c>
      <c r="H43" s="29"/>
      <c r="I43" s="29"/>
      <c r="J43" s="30">
        <f>G43</f>
        <v>0.11358800000016345</v>
      </c>
      <c r="O43" s="28">
        <f t="shared" ca="1" si="3"/>
        <v>0.11277827550378942</v>
      </c>
      <c r="Q43" s="76">
        <f t="shared" si="4"/>
        <v>38236.866300000002</v>
      </c>
      <c r="R43" s="1"/>
    </row>
    <row r="44" spans="1:30" s="28" customFormat="1">
      <c r="A44" s="37" t="s">
        <v>57</v>
      </c>
      <c r="B44" s="39"/>
      <c r="C44" s="28">
        <v>53257.405200000001</v>
      </c>
      <c r="D44" s="28">
        <v>2.5999999999999999E-3</v>
      </c>
      <c r="E44" s="28">
        <f t="shared" si="0"/>
        <v>6245.636612182504</v>
      </c>
      <c r="F44" s="28">
        <f t="shared" si="1"/>
        <v>6245.5</v>
      </c>
      <c r="G44" s="28">
        <f t="shared" si="5"/>
        <v>0.11152800000127172</v>
      </c>
      <c r="H44" s="29"/>
      <c r="I44" s="29"/>
      <c r="J44" s="30">
        <f>G44</f>
        <v>0.11152800000127172</v>
      </c>
      <c r="O44" s="28">
        <f t="shared" ca="1" si="3"/>
        <v>0.11282215265124024</v>
      </c>
      <c r="Q44" s="76">
        <f t="shared" si="4"/>
        <v>38238.905200000001</v>
      </c>
      <c r="R44" s="1"/>
    </row>
    <row r="45" spans="1:30" s="28" customFormat="1">
      <c r="A45" s="35" t="s">
        <v>58</v>
      </c>
      <c r="B45" s="36" t="s">
        <v>44</v>
      </c>
      <c r="C45" s="35">
        <v>53360.272199999999</v>
      </c>
      <c r="E45" s="28">
        <f t="shared" si="0"/>
        <v>6371.6398165569135</v>
      </c>
      <c r="F45" s="28">
        <f t="shared" si="1"/>
        <v>6371.5</v>
      </c>
      <c r="G45" s="28">
        <f t="shared" si="5"/>
        <v>0.11414399999921443</v>
      </c>
      <c r="H45" s="29"/>
      <c r="I45" s="29"/>
      <c r="J45" s="1"/>
      <c r="K45" s="30">
        <f>G45</f>
        <v>0.11414399999921443</v>
      </c>
      <c r="L45" s="1"/>
      <c r="M45" s="30"/>
      <c r="O45" s="28">
        <f t="shared" ca="1" si="3"/>
        <v>0.11503356088276123</v>
      </c>
      <c r="Q45" s="76">
        <f t="shared" si="4"/>
        <v>38341.772199999999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28" customFormat="1">
      <c r="A46" s="32" t="s">
        <v>49</v>
      </c>
      <c r="B46" s="30" t="s">
        <v>44</v>
      </c>
      <c r="C46" s="28">
        <v>53589.6806</v>
      </c>
      <c r="D46" s="28">
        <v>6.9999999999999999E-4</v>
      </c>
      <c r="E46" s="28">
        <f t="shared" si="0"/>
        <v>6652.6453237692067</v>
      </c>
      <c r="F46" s="28">
        <f t="shared" si="1"/>
        <v>6652.5</v>
      </c>
      <c r="G46" s="28">
        <f t="shared" si="5"/>
        <v>0.11864000000059605</v>
      </c>
      <c r="H46" s="29"/>
      <c r="I46" s="29"/>
      <c r="J46" s="1"/>
      <c r="K46" s="30">
        <f>G46</f>
        <v>0.11864000000059605</v>
      </c>
      <c r="N46" s="30"/>
      <c r="O46" s="28">
        <f t="shared" ca="1" si="3"/>
        <v>0.11996535225623266</v>
      </c>
      <c r="Q46" s="76">
        <f t="shared" si="4"/>
        <v>38571.1806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28" customFormat="1">
      <c r="A47" s="32" t="s">
        <v>59</v>
      </c>
      <c r="B47" s="29"/>
      <c r="C47" s="28">
        <v>53601.520100000002</v>
      </c>
      <c r="D47" s="28">
        <v>1.1999999999999999E-3</v>
      </c>
      <c r="E47" s="28">
        <f t="shared" si="0"/>
        <v>6667.147690302605</v>
      </c>
      <c r="F47" s="28">
        <f t="shared" si="1"/>
        <v>6667</v>
      </c>
      <c r="G47" s="28">
        <f t="shared" si="5"/>
        <v>0.12057199999981094</v>
      </c>
      <c r="H47" s="29"/>
      <c r="I47" s="29"/>
      <c r="J47" s="30">
        <f>G47</f>
        <v>0.12057199999981094</v>
      </c>
      <c r="O47" s="28">
        <f t="shared" ca="1" si="3"/>
        <v>0.12021983971144737</v>
      </c>
      <c r="Q47" s="76">
        <f t="shared" si="4"/>
        <v>38583.020100000002</v>
      </c>
      <c r="R47" s="1"/>
    </row>
    <row r="48" spans="1:30" s="28" customFormat="1">
      <c r="A48" s="32" t="s">
        <v>59</v>
      </c>
      <c r="B48" s="29"/>
      <c r="C48" s="28">
        <v>53613.355100000001</v>
      </c>
      <c r="D48" s="28">
        <v>1E-3</v>
      </c>
      <c r="E48" s="28">
        <f t="shared" si="0"/>
        <v>6681.6445447240521</v>
      </c>
      <c r="F48" s="28">
        <f t="shared" si="1"/>
        <v>6681.5</v>
      </c>
      <c r="G48" s="28">
        <f t="shared" si="5"/>
        <v>0.11800400000356603</v>
      </c>
      <c r="H48" s="29"/>
      <c r="I48" s="29"/>
      <c r="J48" s="30">
        <f>G48</f>
        <v>0.11800400000356603</v>
      </c>
      <c r="O48" s="28">
        <f t="shared" ca="1" si="3"/>
        <v>0.12047432716666209</v>
      </c>
      <c r="Q48" s="76">
        <f t="shared" si="4"/>
        <v>38594.855100000001</v>
      </c>
      <c r="R48" s="1"/>
    </row>
    <row r="49" spans="1:30" s="28" customFormat="1">
      <c r="A49" s="31" t="s">
        <v>60</v>
      </c>
      <c r="B49" s="30" t="s">
        <v>44</v>
      </c>
      <c r="C49" s="28">
        <v>53617.440649999997</v>
      </c>
      <c r="D49" s="28" t="s">
        <v>61</v>
      </c>
      <c r="E49" s="28">
        <f t="shared" si="0"/>
        <v>6686.6489911610188</v>
      </c>
      <c r="F49" s="28">
        <f t="shared" si="1"/>
        <v>6686.5</v>
      </c>
      <c r="G49" s="28">
        <f t="shared" si="5"/>
        <v>0.12163399999553803</v>
      </c>
      <c r="H49" s="29"/>
      <c r="I49" s="29"/>
      <c r="J49" s="1"/>
      <c r="K49" s="30">
        <f>G49</f>
        <v>0.12163399999553803</v>
      </c>
      <c r="L49" s="30"/>
      <c r="O49" s="28">
        <f t="shared" ca="1" si="3"/>
        <v>0.12056208146156372</v>
      </c>
      <c r="Q49" s="76">
        <f t="shared" si="4"/>
        <v>38598.940649999997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s="28" customFormat="1">
      <c r="A50" s="37" t="s">
        <v>62</v>
      </c>
      <c r="B50" s="39" t="s">
        <v>43</v>
      </c>
      <c r="C50" s="29">
        <v>53627.644899999999</v>
      </c>
      <c r="D50" s="29">
        <v>1E-4</v>
      </c>
      <c r="E50" s="28">
        <f t="shared" si="0"/>
        <v>6699.14831745845</v>
      </c>
      <c r="F50" s="28">
        <f t="shared" si="1"/>
        <v>6699</v>
      </c>
      <c r="G50" s="28">
        <f t="shared" si="5"/>
        <v>0.12108399999851827</v>
      </c>
      <c r="H50" s="29"/>
      <c r="I50" s="29"/>
      <c r="J50" s="30"/>
      <c r="K50" s="30">
        <f>G50</f>
        <v>0.12108399999851827</v>
      </c>
      <c r="O50" s="28">
        <f t="shared" ca="1" si="3"/>
        <v>0.12078146719881779</v>
      </c>
      <c r="Q50" s="76">
        <f t="shared" si="4"/>
        <v>38609.144899999999</v>
      </c>
      <c r="R50" s="1"/>
    </row>
    <row r="51" spans="1:30" s="28" customFormat="1">
      <c r="A51" s="32" t="s">
        <v>59</v>
      </c>
      <c r="B51" s="29"/>
      <c r="C51" s="28">
        <v>53659.483399999997</v>
      </c>
      <c r="D51" s="28">
        <v>8.9999999999999998E-4</v>
      </c>
      <c r="E51" s="28">
        <f t="shared" si="0"/>
        <v>6738.1477343994948</v>
      </c>
      <c r="F51" s="28">
        <f t="shared" si="1"/>
        <v>6738</v>
      </c>
      <c r="G51" s="28">
        <f t="shared" si="5"/>
        <v>0.12060799999744631</v>
      </c>
      <c r="H51" s="29"/>
      <c r="I51" s="29"/>
      <c r="J51" s="30">
        <f>G51</f>
        <v>0.12060799999744631</v>
      </c>
      <c r="O51" s="28">
        <f t="shared" ca="1" si="3"/>
        <v>0.12146595069905047</v>
      </c>
      <c r="Q51" s="76">
        <f t="shared" si="4"/>
        <v>38640.983399999997</v>
      </c>
      <c r="R51" s="1"/>
    </row>
    <row r="52" spans="1:30" s="28" customFormat="1">
      <c r="A52" s="38" t="s">
        <v>63</v>
      </c>
      <c r="B52" s="39" t="s">
        <v>44</v>
      </c>
      <c r="C52" s="29">
        <v>53928.486400000002</v>
      </c>
      <c r="D52" s="29">
        <v>6.9999999999999999E-4</v>
      </c>
      <c r="E52" s="28">
        <f t="shared" si="0"/>
        <v>7067.6532122138624</v>
      </c>
      <c r="F52" s="28">
        <f t="shared" si="1"/>
        <v>7067.5</v>
      </c>
      <c r="G52" s="28">
        <f t="shared" si="5"/>
        <v>0.12508000000525499</v>
      </c>
      <c r="H52" s="29"/>
      <c r="I52" s="29"/>
      <c r="J52" s="30"/>
      <c r="K52" s="30">
        <f>G52</f>
        <v>0.12508000000525499</v>
      </c>
      <c r="O52" s="28">
        <f t="shared" ca="1" si="3"/>
        <v>0.12724895873306769</v>
      </c>
      <c r="Q52" s="76">
        <f t="shared" si="4"/>
        <v>38909.986400000002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31" t="s">
        <v>64</v>
      </c>
      <c r="B53" s="39" t="s">
        <v>43</v>
      </c>
      <c r="C53" s="28">
        <v>53966.451999999997</v>
      </c>
      <c r="D53" s="28">
        <v>1.1000000000000001E-3</v>
      </c>
      <c r="E53" s="28">
        <f t="shared" ref="E53:E84" si="6">+(C53-C$7)/C$8</f>
        <v>7114.1577982909976</v>
      </c>
      <c r="F53" s="28">
        <f t="shared" ref="F53:F78" si="7">ROUND(2*E53,0)/2</f>
        <v>7114</v>
      </c>
      <c r="G53" s="28">
        <f t="shared" si="5"/>
        <v>0.12882399999944028</v>
      </c>
      <c r="H53" s="29"/>
      <c r="I53" s="29"/>
      <c r="J53" s="30">
        <f>G53</f>
        <v>0.12882399999944028</v>
      </c>
      <c r="K53" s="28"/>
      <c r="L53" s="28"/>
      <c r="M53" s="28"/>
      <c r="N53" s="28"/>
      <c r="O53" s="28">
        <f t="shared" ref="O53:O84" ca="1" si="8">+C$11+C$12*F53</f>
        <v>0.12806507367565281</v>
      </c>
      <c r="P53" s="28"/>
      <c r="Q53" s="76">
        <f t="shared" ref="Q53:Q84" si="9">+C53-15018.5</f>
        <v>38947.951999999997</v>
      </c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</row>
    <row r="54" spans="1:30">
      <c r="A54" s="31" t="s">
        <v>64</v>
      </c>
      <c r="B54" s="39" t="s">
        <v>43</v>
      </c>
      <c r="C54" s="28">
        <v>54002.371700000003</v>
      </c>
      <c r="D54" s="28">
        <v>2.5999999999999999E-3</v>
      </c>
      <c r="E54" s="28">
        <f t="shared" si="6"/>
        <v>7158.1563332941405</v>
      </c>
      <c r="F54" s="28">
        <f t="shared" si="7"/>
        <v>7158</v>
      </c>
      <c r="G54" s="28">
        <f t="shared" si="5"/>
        <v>0.12762800000200514</v>
      </c>
      <c r="H54" s="29"/>
      <c r="I54" s="29"/>
      <c r="J54" s="30">
        <f>G54</f>
        <v>0.12762800000200514</v>
      </c>
      <c r="K54" s="28"/>
      <c r="L54" s="28"/>
      <c r="M54" s="28"/>
      <c r="N54" s="28"/>
      <c r="O54" s="28">
        <f t="shared" ca="1" si="8"/>
        <v>0.12883731147078711</v>
      </c>
      <c r="P54" s="28"/>
      <c r="Q54" s="76">
        <f t="shared" si="9"/>
        <v>38983.871700000003</v>
      </c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</row>
    <row r="55" spans="1:30">
      <c r="A55" s="26" t="s">
        <v>63</v>
      </c>
      <c r="B55" s="27" t="s">
        <v>44</v>
      </c>
      <c r="C55" s="37">
        <v>54297.501499999998</v>
      </c>
      <c r="D55" s="37">
        <v>2.0000000000000001E-4</v>
      </c>
      <c r="E55" s="28">
        <f t="shared" si="6"/>
        <v>7519.6648880918765</v>
      </c>
      <c r="F55" s="28">
        <f t="shared" si="7"/>
        <v>7519.5</v>
      </c>
      <c r="G55" s="28">
        <f t="shared" si="5"/>
        <v>0.13461200000165263</v>
      </c>
      <c r="H55" s="29"/>
      <c r="I55" s="29"/>
      <c r="J55" s="30"/>
      <c r="K55" s="30">
        <f t="shared" ref="K55:K61" si="10">G55</f>
        <v>0.13461200000165263</v>
      </c>
      <c r="L55" s="28"/>
      <c r="M55" s="28"/>
      <c r="N55" s="28"/>
      <c r="O55" s="28">
        <f t="shared" ca="1" si="8"/>
        <v>0.13518194699217473</v>
      </c>
      <c r="P55" s="28"/>
      <c r="Q55" s="76">
        <f t="shared" si="9"/>
        <v>39279.001499999998</v>
      </c>
    </row>
    <row r="56" spans="1:30">
      <c r="A56" s="26" t="s">
        <v>65</v>
      </c>
      <c r="B56" s="27" t="s">
        <v>43</v>
      </c>
      <c r="C56" s="37">
        <v>54384.449460000003</v>
      </c>
      <c r="D56" s="37">
        <v>1.3999999999999999E-4</v>
      </c>
      <c r="E56" s="28">
        <f t="shared" si="6"/>
        <v>7626.1686412276622</v>
      </c>
      <c r="F56" s="28">
        <f t="shared" si="7"/>
        <v>7626</v>
      </c>
      <c r="G56" s="28">
        <f t="shared" si="5"/>
        <v>0.13767600000574021</v>
      </c>
      <c r="H56" s="29"/>
      <c r="I56" s="29"/>
      <c r="J56" s="30"/>
      <c r="K56" s="30">
        <f t="shared" si="10"/>
        <v>0.13767600000574021</v>
      </c>
      <c r="L56" s="28"/>
      <c r="M56" s="28"/>
      <c r="N56" s="28"/>
      <c r="O56" s="28">
        <f t="shared" ca="1" si="8"/>
        <v>0.1370511134735794</v>
      </c>
      <c r="P56" s="28"/>
      <c r="Q56" s="76">
        <f t="shared" si="9"/>
        <v>39365.949460000003</v>
      </c>
    </row>
    <row r="57" spans="1:30">
      <c r="A57" s="32" t="s">
        <v>66</v>
      </c>
      <c r="B57" s="30" t="s">
        <v>44</v>
      </c>
      <c r="C57" s="28">
        <v>55000.423690000003</v>
      </c>
      <c r="D57" s="28">
        <v>8.0000000000000004E-4</v>
      </c>
      <c r="E57" s="28">
        <f t="shared" si="6"/>
        <v>8380.6839550995646</v>
      </c>
      <c r="F57" s="28">
        <f t="shared" si="7"/>
        <v>8380.5</v>
      </c>
      <c r="G57" s="28">
        <f t="shared" si="5"/>
        <v>0.1501780000035069</v>
      </c>
      <c r="H57" s="29"/>
      <c r="I57" s="29"/>
      <c r="K57" s="30">
        <f t="shared" si="10"/>
        <v>0.1501780000035069</v>
      </c>
      <c r="L57" s="30"/>
      <c r="M57" s="28"/>
      <c r="N57" s="28"/>
      <c r="O57" s="28">
        <f t="shared" ca="1" si="8"/>
        <v>0.15029323657423488</v>
      </c>
      <c r="P57" s="28"/>
      <c r="Q57" s="76">
        <f t="shared" si="9"/>
        <v>39981.923690000003</v>
      </c>
    </row>
    <row r="58" spans="1:30">
      <c r="A58" s="32" t="s">
        <v>66</v>
      </c>
      <c r="B58" s="30" t="s">
        <v>44</v>
      </c>
      <c r="C58" s="28">
        <v>55000.424290000003</v>
      </c>
      <c r="D58" s="28">
        <v>1.1000000000000001E-3</v>
      </c>
      <c r="E58" s="28">
        <f t="shared" si="6"/>
        <v>8380.6846900478249</v>
      </c>
      <c r="F58" s="28">
        <f t="shared" si="7"/>
        <v>8380.5</v>
      </c>
      <c r="G58" s="28">
        <f t="shared" si="5"/>
        <v>0.15077800000290154</v>
      </c>
      <c r="H58" s="29"/>
      <c r="I58" s="29"/>
      <c r="K58" s="30">
        <f t="shared" si="10"/>
        <v>0.15077800000290154</v>
      </c>
      <c r="L58" s="30"/>
      <c r="M58" s="28"/>
      <c r="N58" s="28"/>
      <c r="O58" s="28">
        <f t="shared" ca="1" si="8"/>
        <v>0.15029323657423488</v>
      </c>
      <c r="P58" s="28"/>
      <c r="Q58" s="76">
        <f t="shared" si="9"/>
        <v>39981.924290000003</v>
      </c>
    </row>
    <row r="59" spans="1:30">
      <c r="A59" s="32" t="s">
        <v>66</v>
      </c>
      <c r="B59" s="30" t="s">
        <v>44</v>
      </c>
      <c r="C59" s="28">
        <v>55000.425389999997</v>
      </c>
      <c r="D59" s="28">
        <v>1.1999999999999999E-3</v>
      </c>
      <c r="E59" s="28">
        <f t="shared" si="6"/>
        <v>8380.6860374529588</v>
      </c>
      <c r="F59" s="28">
        <f t="shared" si="7"/>
        <v>8380.5</v>
      </c>
      <c r="G59" s="28">
        <f t="shared" si="5"/>
        <v>0.15187799999694107</v>
      </c>
      <c r="H59" s="29"/>
      <c r="I59" s="29"/>
      <c r="K59" s="30">
        <f t="shared" si="10"/>
        <v>0.15187799999694107</v>
      </c>
      <c r="L59" s="30"/>
      <c r="M59" s="28"/>
      <c r="N59" s="28"/>
      <c r="O59" s="28">
        <f t="shared" ca="1" si="8"/>
        <v>0.15029323657423488</v>
      </c>
      <c r="P59" s="28"/>
      <c r="Q59" s="76">
        <f t="shared" si="9"/>
        <v>39981.925389999997</v>
      </c>
    </row>
    <row r="60" spans="1:30">
      <c r="A60" s="26" t="s">
        <v>67</v>
      </c>
      <c r="B60" s="27" t="s">
        <v>43</v>
      </c>
      <c r="C60" s="37">
        <v>55121.6584</v>
      </c>
      <c r="D60" s="37">
        <v>2.9999999999999997E-4</v>
      </c>
      <c r="E60" s="28">
        <f t="shared" si="6"/>
        <v>8529.1860203041706</v>
      </c>
      <c r="F60" s="28">
        <f t="shared" si="7"/>
        <v>8529</v>
      </c>
      <c r="G60" s="28">
        <f t="shared" si="5"/>
        <v>0.15186399999947753</v>
      </c>
      <c r="H60" s="29"/>
      <c r="I60" s="29"/>
      <c r="J60" s="30"/>
      <c r="K60" s="30">
        <f t="shared" si="10"/>
        <v>0.15186399999947753</v>
      </c>
      <c r="L60" s="28"/>
      <c r="M60" s="28"/>
      <c r="N60" s="28"/>
      <c r="O60" s="28">
        <f t="shared" ca="1" si="8"/>
        <v>0.15289953913281318</v>
      </c>
      <c r="P60" s="28"/>
      <c r="Q60" s="76">
        <f t="shared" si="9"/>
        <v>40103.1584</v>
      </c>
    </row>
    <row r="61" spans="1:30">
      <c r="A61" s="32" t="s">
        <v>68</v>
      </c>
      <c r="B61" s="30" t="s">
        <v>43</v>
      </c>
      <c r="C61" s="28">
        <v>55146.558400000002</v>
      </c>
      <c r="D61" s="28">
        <v>4.0000000000000002E-4</v>
      </c>
      <c r="E61" s="28">
        <f t="shared" si="6"/>
        <v>8559.6863730793375</v>
      </c>
      <c r="F61" s="28">
        <f t="shared" si="7"/>
        <v>8559.5</v>
      </c>
      <c r="G61" s="28">
        <f t="shared" si="5"/>
        <v>0.15215200000238838</v>
      </c>
      <c r="H61" s="29"/>
      <c r="I61" s="29"/>
      <c r="K61" s="30">
        <f t="shared" si="10"/>
        <v>0.15215200000238838</v>
      </c>
      <c r="L61" s="28"/>
      <c r="M61" s="28"/>
      <c r="N61" s="30"/>
      <c r="O61" s="28">
        <f t="shared" ca="1" si="8"/>
        <v>0.15343484033171312</v>
      </c>
      <c r="P61" s="28"/>
      <c r="Q61" s="76">
        <f t="shared" si="9"/>
        <v>40128.058400000002</v>
      </c>
    </row>
    <row r="62" spans="1:30">
      <c r="A62" s="32" t="s">
        <v>69</v>
      </c>
      <c r="B62" s="32"/>
      <c r="C62" s="28">
        <v>55481.284200000002</v>
      </c>
      <c r="D62" s="28">
        <v>1.8E-3</v>
      </c>
      <c r="E62" s="28">
        <f t="shared" si="6"/>
        <v>8969.6966133584228</v>
      </c>
      <c r="F62" s="28">
        <f t="shared" si="7"/>
        <v>8969.5</v>
      </c>
      <c r="G62" s="28">
        <f t="shared" si="5"/>
        <v>0.16051200000219978</v>
      </c>
      <c r="H62" s="29"/>
      <c r="I62" s="29"/>
      <c r="J62" s="30">
        <f>G62</f>
        <v>0.16051200000219978</v>
      </c>
      <c r="L62" s="28"/>
      <c r="M62" s="28"/>
      <c r="N62" s="28"/>
      <c r="O62" s="28">
        <f t="shared" ca="1" si="8"/>
        <v>0.16063069251364651</v>
      </c>
      <c r="P62" s="28"/>
      <c r="Q62" s="76">
        <f t="shared" si="9"/>
        <v>40462.784200000002</v>
      </c>
    </row>
    <row r="63" spans="1:30">
      <c r="A63" s="32" t="s">
        <v>70</v>
      </c>
      <c r="B63" s="30" t="s">
        <v>43</v>
      </c>
      <c r="C63" s="28">
        <v>55834.376609999999</v>
      </c>
      <c r="D63" s="28">
        <v>5.0000000000000001E-4</v>
      </c>
      <c r="E63" s="28">
        <f t="shared" si="6"/>
        <v>9402.204367062559</v>
      </c>
      <c r="F63" s="28">
        <f t="shared" si="7"/>
        <v>9402</v>
      </c>
      <c r="G63" s="28">
        <f t="shared" si="5"/>
        <v>0.16684199999872362</v>
      </c>
      <c r="H63" s="29"/>
      <c r="I63" s="29"/>
      <c r="K63" s="30">
        <f>G63</f>
        <v>0.16684199999872362</v>
      </c>
      <c r="L63" s="30"/>
      <c r="M63" s="28"/>
      <c r="N63" s="28"/>
      <c r="O63" s="28">
        <f t="shared" ca="1" si="8"/>
        <v>0.16822143902263723</v>
      </c>
      <c r="P63" s="28"/>
      <c r="Q63" s="76">
        <f t="shared" si="9"/>
        <v>40815.876609999999</v>
      </c>
    </row>
    <row r="64" spans="1:30">
      <c r="A64" s="32" t="s">
        <v>70</v>
      </c>
      <c r="B64" s="30" t="s">
        <v>43</v>
      </c>
      <c r="C64" s="28">
        <v>55834.377509999998</v>
      </c>
      <c r="D64" s="28">
        <v>5.0000000000000001E-4</v>
      </c>
      <c r="E64" s="28">
        <f t="shared" si="6"/>
        <v>9402.2054694849467</v>
      </c>
      <c r="F64" s="28">
        <f t="shared" si="7"/>
        <v>9402</v>
      </c>
      <c r="G64" s="28">
        <f t="shared" si="5"/>
        <v>0.16774199999781558</v>
      </c>
      <c r="H64" s="29"/>
      <c r="I64" s="29"/>
      <c r="K64" s="30">
        <f>G64</f>
        <v>0.16774199999781558</v>
      </c>
      <c r="L64" s="30"/>
      <c r="M64" s="28"/>
      <c r="N64" s="28"/>
      <c r="O64" s="28">
        <f t="shared" ca="1" si="8"/>
        <v>0.16822143902263723</v>
      </c>
      <c r="P64" s="28"/>
      <c r="Q64" s="76">
        <f t="shared" si="9"/>
        <v>40815.877509999998</v>
      </c>
    </row>
    <row r="65" spans="1:21">
      <c r="A65" s="32" t="s">
        <v>70</v>
      </c>
      <c r="B65" s="30" t="s">
        <v>43</v>
      </c>
      <c r="C65" s="28">
        <v>55834.377710000001</v>
      </c>
      <c r="D65" s="28">
        <v>2.9999999999999997E-4</v>
      </c>
      <c r="E65" s="28">
        <f t="shared" si="6"/>
        <v>9402.2057144677019</v>
      </c>
      <c r="F65" s="28">
        <f t="shared" si="7"/>
        <v>9402</v>
      </c>
      <c r="G65" s="28">
        <f t="shared" si="5"/>
        <v>0.16794200000003912</v>
      </c>
      <c r="H65" s="29"/>
      <c r="I65" s="29"/>
      <c r="K65" s="30">
        <f>G65</f>
        <v>0.16794200000003912</v>
      </c>
      <c r="L65" s="30"/>
      <c r="M65" s="28"/>
      <c r="N65" s="28"/>
      <c r="O65" s="28">
        <f t="shared" ca="1" si="8"/>
        <v>0.16822143902263723</v>
      </c>
      <c r="P65" s="28"/>
      <c r="Q65" s="76">
        <f t="shared" si="9"/>
        <v>40815.877710000001</v>
      </c>
    </row>
    <row r="66" spans="1:21">
      <c r="A66" s="26" t="s">
        <v>71</v>
      </c>
      <c r="B66" s="27" t="s">
        <v>43</v>
      </c>
      <c r="C66" s="37">
        <v>55850.707000000002</v>
      </c>
      <c r="D66" s="37">
        <v>2.9999999999999997E-4</v>
      </c>
      <c r="E66" s="28">
        <f t="shared" si="6"/>
        <v>9422.2076865788677</v>
      </c>
      <c r="F66" s="28">
        <f t="shared" si="7"/>
        <v>9422</v>
      </c>
      <c r="G66" s="28">
        <f t="shared" si="5"/>
        <v>0.16955199999938486</v>
      </c>
      <c r="H66" s="29"/>
      <c r="I66" s="29"/>
      <c r="J66" s="30"/>
      <c r="K66" s="30">
        <f>G66</f>
        <v>0.16955199999938486</v>
      </c>
      <c r="L66" s="28"/>
      <c r="M66" s="28"/>
      <c r="N66" s="28"/>
      <c r="O66" s="28">
        <f t="shared" ca="1" si="8"/>
        <v>0.16857245620224373</v>
      </c>
      <c r="P66" s="28"/>
      <c r="Q66" s="76">
        <f t="shared" si="9"/>
        <v>40832.207000000002</v>
      </c>
    </row>
    <row r="67" spans="1:21">
      <c r="A67" s="35" t="s">
        <v>72</v>
      </c>
      <c r="B67" s="36" t="s">
        <v>43</v>
      </c>
      <c r="C67" s="35">
        <v>55857.2382</v>
      </c>
      <c r="E67" s="28">
        <f t="shared" si="6"/>
        <v>9430.2078433678271</v>
      </c>
      <c r="F67" s="28">
        <f t="shared" si="7"/>
        <v>9430</v>
      </c>
      <c r="G67" s="28">
        <f t="shared" si="5"/>
        <v>0.16967999999906169</v>
      </c>
      <c r="H67" s="29"/>
      <c r="I67" s="29"/>
      <c r="K67" s="30">
        <f>G67</f>
        <v>0.16967999999906169</v>
      </c>
      <c r="N67" s="28"/>
      <c r="O67" s="28">
        <f t="shared" ca="1" si="8"/>
        <v>0.16871286307408634</v>
      </c>
      <c r="P67" s="28"/>
      <c r="Q67" s="76">
        <f t="shared" si="9"/>
        <v>40838.7382</v>
      </c>
    </row>
    <row r="68" spans="1:21">
      <c r="A68" s="38" t="s">
        <v>73</v>
      </c>
      <c r="B68" s="30"/>
      <c r="C68" s="29">
        <v>55879.2817</v>
      </c>
      <c r="D68" s="29">
        <v>1.9E-3</v>
      </c>
      <c r="E68" s="28">
        <f t="shared" si="6"/>
        <v>9457.209229970209</v>
      </c>
      <c r="F68" s="28">
        <f t="shared" si="7"/>
        <v>9457</v>
      </c>
      <c r="G68" s="28">
        <f t="shared" si="5"/>
        <v>0.17081199999665841</v>
      </c>
      <c r="H68" s="29"/>
      <c r="I68" s="29"/>
      <c r="J68" s="30">
        <f>G68</f>
        <v>0.17081199999665841</v>
      </c>
      <c r="L68" s="28"/>
      <c r="M68" s="28"/>
      <c r="N68" s="28"/>
      <c r="O68" s="28">
        <f t="shared" ca="1" si="8"/>
        <v>0.16918673626655512</v>
      </c>
      <c r="P68" s="28"/>
      <c r="Q68" s="76">
        <f t="shared" si="9"/>
        <v>40860.7817</v>
      </c>
    </row>
    <row r="69" spans="1:21">
      <c r="A69" s="32" t="s">
        <v>70</v>
      </c>
      <c r="B69" s="30" t="s">
        <v>43</v>
      </c>
      <c r="C69" s="28">
        <v>55879.284449999999</v>
      </c>
      <c r="D69" s="28">
        <v>5.0000000000000001E-4</v>
      </c>
      <c r="E69" s="28">
        <f t="shared" si="6"/>
        <v>9457.2125984830654</v>
      </c>
      <c r="F69" s="28">
        <f t="shared" si="7"/>
        <v>9457</v>
      </c>
      <c r="G69" s="28">
        <f t="shared" si="5"/>
        <v>0.17356199999630917</v>
      </c>
      <c r="H69" s="29"/>
      <c r="I69" s="29"/>
      <c r="K69" s="30">
        <f>G69</f>
        <v>0.17356199999630917</v>
      </c>
      <c r="L69" s="30"/>
      <c r="M69" s="28"/>
      <c r="N69" s="28"/>
      <c r="O69" s="28">
        <f t="shared" ca="1" si="8"/>
        <v>0.16918673626655512</v>
      </c>
      <c r="P69" s="28"/>
      <c r="Q69" s="76">
        <f t="shared" si="9"/>
        <v>40860.784449999999</v>
      </c>
    </row>
    <row r="70" spans="1:21">
      <c r="A70" s="35" t="s">
        <v>74</v>
      </c>
      <c r="B70" s="36" t="s">
        <v>43</v>
      </c>
      <c r="C70" s="35">
        <v>56160.1224</v>
      </c>
      <c r="E70" s="28">
        <f t="shared" si="6"/>
        <v>9801.2148694731895</v>
      </c>
      <c r="F70" s="28">
        <f t="shared" si="7"/>
        <v>9801</v>
      </c>
      <c r="G70" s="28">
        <f t="shared" si="5"/>
        <v>0.17541599999822211</v>
      </c>
      <c r="H70" s="29"/>
      <c r="I70" s="29"/>
      <c r="K70" s="30">
        <f>G70</f>
        <v>0.17541599999822211</v>
      </c>
      <c r="M70" s="30"/>
      <c r="N70" s="28"/>
      <c r="O70" s="28">
        <f t="shared" ca="1" si="8"/>
        <v>0.17522423175578702</v>
      </c>
      <c r="P70" s="28"/>
      <c r="Q70" s="76">
        <f t="shared" si="9"/>
        <v>41141.6224</v>
      </c>
    </row>
    <row r="71" spans="1:21">
      <c r="A71" s="40" t="s">
        <v>75</v>
      </c>
      <c r="B71" s="41" t="s">
        <v>44</v>
      </c>
      <c r="C71" s="86">
        <v>56196.4516</v>
      </c>
      <c r="D71" s="86">
        <v>2.9999999999999997E-4</v>
      </c>
      <c r="E71" s="28">
        <f t="shared" si="6"/>
        <v>9845.7150066635313</v>
      </c>
      <c r="F71" s="28">
        <f t="shared" si="7"/>
        <v>9845.5</v>
      </c>
      <c r="G71" s="28">
        <f t="shared" si="5"/>
        <v>0.17552799999975832</v>
      </c>
      <c r="H71" s="29"/>
      <c r="I71" s="29"/>
      <c r="K71" s="30">
        <f>G71</f>
        <v>0.17552799999975832</v>
      </c>
      <c r="L71" s="30"/>
      <c r="M71" s="28"/>
      <c r="N71" s="28"/>
      <c r="O71" s="28">
        <f t="shared" ca="1" si="8"/>
        <v>0.17600524498041151</v>
      </c>
      <c r="P71" s="28"/>
      <c r="Q71" s="76">
        <f t="shared" si="9"/>
        <v>41177.9516</v>
      </c>
    </row>
    <row r="72" spans="1:21">
      <c r="A72" s="35" t="s">
        <v>74</v>
      </c>
      <c r="B72" s="36" t="s">
        <v>43</v>
      </c>
      <c r="C72" s="35">
        <v>56213.053</v>
      </c>
      <c r="E72" s="28">
        <f t="shared" si="6"/>
        <v>9866.0502900595802</v>
      </c>
      <c r="F72" s="28">
        <f t="shared" si="7"/>
        <v>9866</v>
      </c>
      <c r="H72" s="29"/>
      <c r="I72" s="29"/>
      <c r="K72" s="30"/>
      <c r="M72" s="30"/>
      <c r="N72" s="28"/>
      <c r="O72" s="28">
        <f t="shared" ca="1" si="8"/>
        <v>0.17636503758950819</v>
      </c>
      <c r="P72" s="28"/>
      <c r="Q72" s="76">
        <f t="shared" si="9"/>
        <v>41194.553</v>
      </c>
      <c r="U72" s="28">
        <f>+C72-(C$7+F72*C$8)</f>
        <v>4.105600000184495E-2</v>
      </c>
    </row>
    <row r="73" spans="1:21">
      <c r="A73" s="32" t="s">
        <v>76</v>
      </c>
      <c r="B73" s="30" t="s">
        <v>43</v>
      </c>
      <c r="C73" s="28">
        <v>56219.718699999998</v>
      </c>
      <c r="D73" s="28">
        <v>4.0000000000000002E-4</v>
      </c>
      <c r="E73" s="28">
        <f t="shared" si="6"/>
        <v>9874.2151977500762</v>
      </c>
      <c r="F73" s="28">
        <f t="shared" si="7"/>
        <v>9874</v>
      </c>
      <c r="G73" s="28">
        <f t="shared" ref="G73:G91" si="11">+C73-(C$7+F73*C$8)</f>
        <v>0.1756840000016382</v>
      </c>
      <c r="H73" s="29"/>
      <c r="I73" s="29"/>
      <c r="J73" s="30"/>
      <c r="K73" s="30">
        <f t="shared" ref="K73:K91" si="12">G73</f>
        <v>0.1756840000016382</v>
      </c>
      <c r="L73" s="28"/>
      <c r="M73" s="28"/>
      <c r="N73" s="28"/>
      <c r="O73" s="28">
        <f t="shared" ca="1" si="8"/>
        <v>0.17650544446135077</v>
      </c>
      <c r="P73" s="28"/>
      <c r="Q73" s="76">
        <f t="shared" si="9"/>
        <v>41201.218699999998</v>
      </c>
    </row>
    <row r="74" spans="1:21">
      <c r="A74" s="32" t="s">
        <v>70</v>
      </c>
      <c r="B74" s="30" t="s">
        <v>43</v>
      </c>
      <c r="C74" s="28">
        <v>56541.38276</v>
      </c>
      <c r="D74" s="28">
        <v>2.9999999999999997E-4</v>
      </c>
      <c r="E74" s="28">
        <f t="shared" si="6"/>
        <v>10268.225932894326</v>
      </c>
      <c r="F74" s="28">
        <f t="shared" si="7"/>
        <v>10268</v>
      </c>
      <c r="G74" s="28">
        <f t="shared" si="11"/>
        <v>0.18444799999997485</v>
      </c>
      <c r="H74" s="29"/>
      <c r="I74" s="29"/>
      <c r="K74" s="30">
        <f t="shared" si="12"/>
        <v>0.18444799999997485</v>
      </c>
      <c r="L74" s="30"/>
      <c r="M74" s="28"/>
      <c r="N74" s="28"/>
      <c r="O74" s="28">
        <f t="shared" ca="1" si="8"/>
        <v>0.18342048289959897</v>
      </c>
      <c r="P74" s="28"/>
      <c r="Q74" s="76">
        <f t="shared" si="9"/>
        <v>41522.88276</v>
      </c>
    </row>
    <row r="75" spans="1:21">
      <c r="A75" s="32" t="s">
        <v>70</v>
      </c>
      <c r="B75" s="30" t="s">
        <v>43</v>
      </c>
      <c r="C75" s="28">
        <v>56541.383229999999</v>
      </c>
      <c r="D75" s="28">
        <v>2.9999999999999997E-4</v>
      </c>
      <c r="E75" s="28">
        <f t="shared" si="6"/>
        <v>10268.226508603793</v>
      </c>
      <c r="F75" s="28">
        <f t="shared" si="7"/>
        <v>10268</v>
      </c>
      <c r="G75" s="28">
        <f t="shared" si="11"/>
        <v>0.18491799999901559</v>
      </c>
      <c r="H75" s="29"/>
      <c r="I75" s="29"/>
      <c r="K75" s="30">
        <f t="shared" si="12"/>
        <v>0.18491799999901559</v>
      </c>
      <c r="L75" s="30"/>
      <c r="M75" s="28"/>
      <c r="N75" s="28"/>
      <c r="O75" s="28">
        <f t="shared" ca="1" si="8"/>
        <v>0.18342048289959897</v>
      </c>
      <c r="P75" s="28"/>
      <c r="Q75" s="76">
        <f t="shared" si="9"/>
        <v>41522.883229999999</v>
      </c>
    </row>
    <row r="76" spans="1:21">
      <c r="A76" s="32" t="s">
        <v>70</v>
      </c>
      <c r="B76" s="30" t="s">
        <v>43</v>
      </c>
      <c r="C76" s="28">
        <v>56541.383439999998</v>
      </c>
      <c r="D76" s="28">
        <v>5.0000000000000001E-4</v>
      </c>
      <c r="E76" s="28">
        <f t="shared" si="6"/>
        <v>10268.226765835683</v>
      </c>
      <c r="F76" s="28">
        <f t="shared" si="7"/>
        <v>10268</v>
      </c>
      <c r="G76" s="28">
        <f t="shared" si="11"/>
        <v>0.18512799999734852</v>
      </c>
      <c r="H76" s="29"/>
      <c r="I76" s="29"/>
      <c r="K76" s="30">
        <f t="shared" si="12"/>
        <v>0.18512799999734852</v>
      </c>
      <c r="L76" s="30"/>
      <c r="M76" s="28"/>
      <c r="N76" s="28"/>
      <c r="O76" s="28">
        <f t="shared" ca="1" si="8"/>
        <v>0.18342048289959897</v>
      </c>
      <c r="P76" s="28"/>
      <c r="Q76" s="76">
        <f t="shared" si="9"/>
        <v>41522.883439999998</v>
      </c>
    </row>
    <row r="77" spans="1:21">
      <c r="A77" s="31" t="s">
        <v>77</v>
      </c>
      <c r="B77" s="30" t="s">
        <v>43</v>
      </c>
      <c r="C77" s="87">
        <v>56888.357640000002</v>
      </c>
      <c r="D77" s="28">
        <v>2.0000000000000001E-4</v>
      </c>
      <c r="E77" s="28">
        <f t="shared" si="6"/>
        <v>10693.240239887115</v>
      </c>
      <c r="F77" s="28">
        <f t="shared" si="7"/>
        <v>10693</v>
      </c>
      <c r="G77" s="28">
        <f t="shared" si="11"/>
        <v>0.1961280000032275</v>
      </c>
      <c r="H77" s="29"/>
      <c r="I77" s="29"/>
      <c r="K77" s="30">
        <f t="shared" si="12"/>
        <v>0.1961280000032275</v>
      </c>
      <c r="L77" s="30"/>
      <c r="M77" s="28"/>
      <c r="N77" s="28"/>
      <c r="O77" s="28">
        <f t="shared" ca="1" si="8"/>
        <v>0.19087959796623724</v>
      </c>
      <c r="P77" s="28"/>
      <c r="Q77" s="76">
        <f t="shared" si="9"/>
        <v>41869.857640000002</v>
      </c>
    </row>
    <row r="78" spans="1:21">
      <c r="A78" s="42" t="s">
        <v>78</v>
      </c>
      <c r="B78" s="43" t="s">
        <v>44</v>
      </c>
      <c r="C78" s="42">
        <v>56944.275800000003</v>
      </c>
      <c r="D78" s="42">
        <v>1E-4</v>
      </c>
      <c r="E78" s="28">
        <f t="shared" si="6"/>
        <v>10761.735163844469</v>
      </c>
      <c r="F78" s="28">
        <f t="shared" si="7"/>
        <v>10761.5</v>
      </c>
      <c r="G78" s="28">
        <f t="shared" si="11"/>
        <v>0.19198400000459515</v>
      </c>
      <c r="H78" s="29"/>
      <c r="I78" s="29"/>
      <c r="K78" s="30">
        <f t="shared" si="12"/>
        <v>0.19198400000459515</v>
      </c>
      <c r="L78" s="30"/>
      <c r="M78" s="28"/>
      <c r="N78" s="28"/>
      <c r="O78" s="28">
        <f t="shared" ca="1" si="8"/>
        <v>0.19208183180638955</v>
      </c>
      <c r="P78" s="28"/>
      <c r="Q78" s="76">
        <f t="shared" si="9"/>
        <v>41925.775800000003</v>
      </c>
    </row>
    <row r="79" spans="1:21">
      <c r="A79" s="42" t="s">
        <v>78</v>
      </c>
      <c r="B79" s="43" t="s">
        <v>44</v>
      </c>
      <c r="C79" s="42">
        <v>57654.543299999998</v>
      </c>
      <c r="D79" s="42">
        <v>2.0000000000000001E-4</v>
      </c>
      <c r="E79" s="28">
        <f t="shared" si="6"/>
        <v>11631.751602187203</v>
      </c>
      <c r="F79" s="44">
        <f t="shared" ref="F79:F94" si="13">ROUND(2*E79,0)/2-0.5</f>
        <v>11631.5</v>
      </c>
      <c r="G79" s="28">
        <f t="shared" si="11"/>
        <v>0.20540400000027148</v>
      </c>
      <c r="H79" s="29"/>
      <c r="I79" s="29"/>
      <c r="K79" s="30">
        <f t="shared" si="12"/>
        <v>0.20540400000027148</v>
      </c>
      <c r="L79" s="30"/>
      <c r="M79" s="28"/>
      <c r="N79" s="28"/>
      <c r="O79" s="28">
        <f t="shared" ca="1" si="8"/>
        <v>0.20735107911927261</v>
      </c>
      <c r="P79" s="28"/>
      <c r="Q79" s="76">
        <f t="shared" si="9"/>
        <v>42636.043299999998</v>
      </c>
    </row>
    <row r="80" spans="1:21">
      <c r="A80" s="45" t="s">
        <v>79</v>
      </c>
      <c r="B80" s="46" t="s">
        <v>44</v>
      </c>
      <c r="C80" s="88">
        <v>57698.632799999999</v>
      </c>
      <c r="D80" s="88">
        <v>2.0000000000000001E-4</v>
      </c>
      <c r="E80" s="28">
        <f t="shared" si="6"/>
        <v>11685.757437676388</v>
      </c>
      <c r="F80" s="44">
        <f t="shared" si="13"/>
        <v>11685.5</v>
      </c>
      <c r="G80" s="28">
        <f t="shared" si="11"/>
        <v>0.21016799999779323</v>
      </c>
      <c r="H80" s="29"/>
      <c r="I80" s="29"/>
      <c r="K80" s="30">
        <f t="shared" si="12"/>
        <v>0.21016799999779323</v>
      </c>
      <c r="L80" s="30"/>
      <c r="M80" s="28"/>
      <c r="N80" s="28"/>
      <c r="O80" s="28">
        <f t="shared" ca="1" si="8"/>
        <v>0.20829882550421017</v>
      </c>
      <c r="P80" s="28"/>
      <c r="Q80" s="76">
        <f t="shared" si="9"/>
        <v>42680.132799999999</v>
      </c>
    </row>
    <row r="81" spans="1:17">
      <c r="A81" s="47" t="s">
        <v>80</v>
      </c>
      <c r="B81" s="48" t="s">
        <v>44</v>
      </c>
      <c r="C81" s="89">
        <v>57951.713900000002</v>
      </c>
      <c r="D81" s="89">
        <v>2.9999999999999997E-4</v>
      </c>
      <c r="E81" s="28">
        <f t="shared" si="6"/>
        <v>11995.759960998748</v>
      </c>
      <c r="F81" s="44">
        <f t="shared" si="13"/>
        <v>11995.5</v>
      </c>
      <c r="G81" s="28">
        <f t="shared" si="11"/>
        <v>0.21222800000396091</v>
      </c>
      <c r="H81" s="29"/>
      <c r="I81" s="29"/>
      <c r="K81" s="30">
        <f t="shared" si="12"/>
        <v>0.21222800000396091</v>
      </c>
      <c r="L81" s="30"/>
      <c r="M81" s="28"/>
      <c r="N81" s="28"/>
      <c r="O81" s="28">
        <f t="shared" ca="1" si="8"/>
        <v>0.21373959178811103</v>
      </c>
      <c r="P81" s="28"/>
      <c r="Q81" s="76">
        <f t="shared" si="9"/>
        <v>42933.213900000002</v>
      </c>
    </row>
    <row r="82" spans="1:17">
      <c r="A82" s="54" t="s">
        <v>84</v>
      </c>
      <c r="B82" s="55" t="s">
        <v>43</v>
      </c>
      <c r="C82" s="54">
        <v>57981.514549999963</v>
      </c>
      <c r="D82" s="54">
        <v>2.0000000000000001E-4</v>
      </c>
      <c r="E82" s="28">
        <f t="shared" si="6"/>
        <v>12032.26318742156</v>
      </c>
      <c r="F82" s="44">
        <f t="shared" si="13"/>
        <v>12032</v>
      </c>
      <c r="G82" s="28">
        <f t="shared" si="11"/>
        <v>0.21486199996434152</v>
      </c>
      <c r="H82" s="29"/>
      <c r="I82" s="29"/>
      <c r="K82" s="30">
        <f t="shared" si="12"/>
        <v>0.21486199996434152</v>
      </c>
      <c r="L82" s="30"/>
      <c r="M82" s="28"/>
      <c r="N82" s="28"/>
      <c r="O82" s="28">
        <f t="shared" ca="1" si="8"/>
        <v>0.2143801981408929</v>
      </c>
      <c r="P82" s="28"/>
      <c r="Q82" s="76">
        <f t="shared" si="9"/>
        <v>42963.014549999963</v>
      </c>
    </row>
    <row r="83" spans="1:17">
      <c r="A83" s="54" t="s">
        <v>84</v>
      </c>
      <c r="B83" s="55" t="s">
        <v>43</v>
      </c>
      <c r="C83" s="54">
        <v>57981.514769999776</v>
      </c>
      <c r="D83" s="54">
        <v>1E-4</v>
      </c>
      <c r="E83" s="28">
        <f t="shared" si="6"/>
        <v>12032.263456902359</v>
      </c>
      <c r="F83" s="44">
        <f t="shared" si="13"/>
        <v>12032</v>
      </c>
      <c r="G83" s="28">
        <f t="shared" si="11"/>
        <v>0.21508199977688491</v>
      </c>
      <c r="H83" s="29"/>
      <c r="I83" s="29"/>
      <c r="K83" s="30">
        <f t="shared" si="12"/>
        <v>0.21508199977688491</v>
      </c>
      <c r="L83" s="30"/>
      <c r="M83" s="28"/>
      <c r="N83" s="28"/>
      <c r="O83" s="28">
        <f t="shared" ca="1" si="8"/>
        <v>0.2143801981408929</v>
      </c>
      <c r="P83" s="28"/>
      <c r="Q83" s="76">
        <f t="shared" si="9"/>
        <v>42963.014769999776</v>
      </c>
    </row>
    <row r="84" spans="1:17" s="83" customFormat="1" ht="12" customHeight="1">
      <c r="A84" s="42" t="s">
        <v>81</v>
      </c>
      <c r="B84" s="49" t="s">
        <v>43</v>
      </c>
      <c r="C84" s="90">
        <v>58022.333299999998</v>
      </c>
      <c r="D84" s="90">
        <v>2.9999999999999997E-4</v>
      </c>
      <c r="E84" s="28">
        <f t="shared" si="6"/>
        <v>12082.262636210409</v>
      </c>
      <c r="F84" s="44">
        <f t="shared" si="13"/>
        <v>12082</v>
      </c>
      <c r="G84" s="28">
        <f t="shared" si="11"/>
        <v>0.21441200000117533</v>
      </c>
      <c r="H84" s="29"/>
      <c r="I84" s="29"/>
      <c r="K84" s="30">
        <f t="shared" si="12"/>
        <v>0.21441200000117533</v>
      </c>
      <c r="L84" s="30"/>
      <c r="M84" s="28"/>
      <c r="N84" s="28"/>
      <c r="O84" s="28">
        <f t="shared" ca="1" si="8"/>
        <v>0.21525774108990917</v>
      </c>
      <c r="P84" s="28"/>
      <c r="Q84" s="76">
        <f t="shared" si="9"/>
        <v>43003.833299999998</v>
      </c>
    </row>
    <row r="85" spans="1:17" s="83" customFormat="1" ht="12" customHeight="1">
      <c r="A85" s="50" t="s">
        <v>82</v>
      </c>
      <c r="B85" s="51" t="s">
        <v>43</v>
      </c>
      <c r="C85" s="91">
        <v>58385.632599999997</v>
      </c>
      <c r="D85" s="91">
        <v>2.0000000000000001E-4</v>
      </c>
      <c r="E85" s="28">
        <f t="shared" ref="E85:E91" si="14">+(C85-C$7)/C$8</f>
        <v>12527.272949984317</v>
      </c>
      <c r="F85" s="44">
        <f t="shared" si="13"/>
        <v>12527</v>
      </c>
      <c r="G85" s="28">
        <f t="shared" si="11"/>
        <v>0.22283199999947101</v>
      </c>
      <c r="H85" s="29"/>
      <c r="I85" s="29"/>
      <c r="K85" s="30">
        <f t="shared" si="12"/>
        <v>0.22283199999947101</v>
      </c>
      <c r="L85" s="30"/>
      <c r="M85" s="28"/>
      <c r="N85" s="28"/>
      <c r="O85" s="28">
        <f t="shared" ref="O85:O91" ca="1" si="15">+C$11+C$12*F85</f>
        <v>0.22306787333615397</v>
      </c>
      <c r="P85" s="28"/>
      <c r="Q85" s="76">
        <f t="shared" ref="Q85:Q91" si="16">+C85-15018.5</f>
        <v>43367.132599999997</v>
      </c>
    </row>
    <row r="86" spans="1:17" s="83" customFormat="1" ht="12" customHeight="1">
      <c r="A86" s="50" t="s">
        <v>82</v>
      </c>
      <c r="B86" s="51" t="s">
        <v>43</v>
      </c>
      <c r="C86" s="91">
        <v>58412.5717</v>
      </c>
      <c r="D86" s="91">
        <v>2.0000000000000001E-4</v>
      </c>
      <c r="E86" s="28">
        <f t="shared" si="14"/>
        <v>12560.271024419881</v>
      </c>
      <c r="F86" s="44">
        <f t="shared" si="13"/>
        <v>12560</v>
      </c>
      <c r="G86" s="28">
        <f t="shared" si="11"/>
        <v>0.22125999999843771</v>
      </c>
      <c r="H86" s="29"/>
      <c r="I86" s="29"/>
      <c r="K86" s="30">
        <f t="shared" si="12"/>
        <v>0.22125999999843771</v>
      </c>
      <c r="L86" s="30"/>
      <c r="M86" s="28"/>
      <c r="N86" s="28"/>
      <c r="O86" s="28">
        <f t="shared" ca="1" si="15"/>
        <v>0.22364705168250471</v>
      </c>
      <c r="P86" s="28"/>
      <c r="Q86" s="76">
        <f t="shared" si="16"/>
        <v>43394.0717</v>
      </c>
    </row>
    <row r="87" spans="1:17" s="83" customFormat="1" ht="12" customHeight="1">
      <c r="A87" s="52" t="s">
        <v>83</v>
      </c>
      <c r="B87" s="53" t="s">
        <v>43</v>
      </c>
      <c r="C87" s="52">
        <v>58687.700900000003</v>
      </c>
      <c r="D87" s="52">
        <v>2.0000000000000001E-4</v>
      </c>
      <c r="E87" s="28">
        <f t="shared" si="14"/>
        <v>12897.28056894795</v>
      </c>
      <c r="F87" s="44">
        <f t="shared" si="13"/>
        <v>12897</v>
      </c>
      <c r="G87" s="28">
        <f t="shared" si="11"/>
        <v>0.22905200000241166</v>
      </c>
      <c r="H87" s="29"/>
      <c r="I87" s="29"/>
      <c r="K87" s="30">
        <f t="shared" si="12"/>
        <v>0.22905200000241166</v>
      </c>
      <c r="L87" s="30"/>
      <c r="M87" s="28"/>
      <c r="N87" s="28"/>
      <c r="O87" s="28">
        <f t="shared" ca="1" si="15"/>
        <v>0.22956169115887434</v>
      </c>
      <c r="P87" s="28"/>
      <c r="Q87" s="76">
        <f t="shared" si="16"/>
        <v>43669.200900000003</v>
      </c>
    </row>
    <row r="88" spans="1:17" s="83" customFormat="1" ht="12" customHeight="1">
      <c r="A88" s="52" t="s">
        <v>304</v>
      </c>
      <c r="B88" s="53" t="s">
        <v>43</v>
      </c>
      <c r="C88" s="52">
        <v>59118.7618</v>
      </c>
      <c r="D88" s="52">
        <v>5.0000000000000001E-4</v>
      </c>
      <c r="E88" s="28">
        <f t="shared" si="14"/>
        <v>13425.292999372845</v>
      </c>
      <c r="F88" s="44">
        <f t="shared" si="13"/>
        <v>13425</v>
      </c>
      <c r="G88" s="28">
        <f t="shared" si="11"/>
        <v>0.23920000000362052</v>
      </c>
      <c r="H88" s="29"/>
      <c r="I88" s="29"/>
      <c r="K88" s="30">
        <f t="shared" si="12"/>
        <v>0.23920000000362052</v>
      </c>
      <c r="L88" s="30"/>
      <c r="M88" s="28"/>
      <c r="N88" s="28"/>
      <c r="O88" s="28">
        <f t="shared" ca="1" si="15"/>
        <v>0.23882854470048612</v>
      </c>
      <c r="P88" s="28"/>
      <c r="Q88" s="76">
        <f t="shared" si="16"/>
        <v>44100.2618</v>
      </c>
    </row>
    <row r="89" spans="1:17" s="83" customFormat="1" ht="12" customHeight="1">
      <c r="A89" s="52" t="s">
        <v>304</v>
      </c>
      <c r="B89" s="53" t="s">
        <v>43</v>
      </c>
      <c r="C89" s="52">
        <v>59159.580699999999</v>
      </c>
      <c r="D89" s="52">
        <v>4.0000000000000002E-4</v>
      </c>
      <c r="E89" s="28">
        <f t="shared" si="14"/>
        <v>13475.292631898712</v>
      </c>
      <c r="F89" s="44">
        <f t="shared" si="13"/>
        <v>13475</v>
      </c>
      <c r="G89" s="28">
        <f t="shared" si="11"/>
        <v>0.23889999999664724</v>
      </c>
      <c r="H89" s="29"/>
      <c r="I89" s="29"/>
      <c r="K89" s="30">
        <f t="shared" si="12"/>
        <v>0.23889999999664724</v>
      </c>
      <c r="L89" s="30"/>
      <c r="M89" s="28"/>
      <c r="N89" s="28"/>
      <c r="O89" s="28">
        <f t="shared" ca="1" si="15"/>
        <v>0.23970608764950238</v>
      </c>
      <c r="P89" s="28"/>
      <c r="Q89" s="76">
        <f t="shared" si="16"/>
        <v>44141.080699999999</v>
      </c>
    </row>
    <row r="90" spans="1:17" s="83" customFormat="1" ht="12" customHeight="1">
      <c r="A90" s="77" t="s">
        <v>305</v>
      </c>
      <c r="B90" s="78" t="s">
        <v>43</v>
      </c>
      <c r="C90" s="79">
        <v>59452.25950000016</v>
      </c>
      <c r="D90" s="77" t="s">
        <v>91</v>
      </c>
      <c r="E90" s="28">
        <f t="shared" si="14"/>
        <v>13833.798923056012</v>
      </c>
      <c r="F90" s="28">
        <f t="shared" si="13"/>
        <v>13833.5</v>
      </c>
      <c r="G90" s="28">
        <f t="shared" si="11"/>
        <v>0.24403600016376004</v>
      </c>
      <c r="H90" s="29"/>
      <c r="I90" s="29"/>
      <c r="K90" s="30">
        <f t="shared" si="12"/>
        <v>0.24403600016376004</v>
      </c>
      <c r="L90" s="30"/>
      <c r="M90" s="28"/>
      <c r="N90" s="28"/>
      <c r="O90" s="28">
        <f t="shared" ca="1" si="15"/>
        <v>0.24599807059394904</v>
      </c>
      <c r="P90" s="28"/>
      <c r="Q90" s="76">
        <f t="shared" si="16"/>
        <v>44433.75950000016</v>
      </c>
    </row>
    <row r="91" spans="1:17" s="83" customFormat="1" ht="12" customHeight="1">
      <c r="A91" s="80" t="s">
        <v>306</v>
      </c>
      <c r="B91" s="78" t="s">
        <v>43</v>
      </c>
      <c r="C91" s="79">
        <v>59498.3874</v>
      </c>
      <c r="D91" s="77">
        <v>2.0000000000000001E-4</v>
      </c>
      <c r="E91" s="28">
        <f t="shared" si="14"/>
        <v>13890.301622765757</v>
      </c>
      <c r="F91" s="28">
        <f t="shared" si="13"/>
        <v>13890</v>
      </c>
      <c r="G91" s="28">
        <f t="shared" si="11"/>
        <v>0.24624000000039814</v>
      </c>
      <c r="H91" s="29"/>
      <c r="I91" s="29"/>
      <c r="K91" s="30">
        <f t="shared" si="12"/>
        <v>0.24624000000039814</v>
      </c>
      <c r="L91" s="30"/>
      <c r="M91" s="28"/>
      <c r="N91" s="28"/>
      <c r="O91" s="28">
        <f t="shared" ca="1" si="15"/>
        <v>0.24698969412633742</v>
      </c>
      <c r="P91" s="28"/>
      <c r="Q91" s="76">
        <f t="shared" si="16"/>
        <v>44479.8874</v>
      </c>
    </row>
    <row r="92" spans="1:17" s="83" customFormat="1" ht="12" customHeight="1">
      <c r="A92" s="81" t="s">
        <v>307</v>
      </c>
      <c r="B92" s="82" t="s">
        <v>44</v>
      </c>
      <c r="C92" s="79">
        <v>59801.680200000003</v>
      </c>
      <c r="D92" s="77">
        <v>4.0000000000000002E-4</v>
      </c>
      <c r="E92" s="28">
        <f t="shared" ref="E92:E94" si="17">+(C92-C$7)/C$8</f>
        <v>14261.809148635939</v>
      </c>
      <c r="F92" s="28">
        <f t="shared" si="13"/>
        <v>14261.5</v>
      </c>
      <c r="G92" s="28">
        <f t="shared" ref="G92:G94" si="18">+C92-(C$7+F92*C$8)</f>
        <v>0.2523840000067139</v>
      </c>
      <c r="H92" s="29"/>
      <c r="I92" s="29"/>
      <c r="K92" s="30">
        <f t="shared" ref="K92:K94" si="19">G92</f>
        <v>0.2523840000067139</v>
      </c>
      <c r="L92" s="30"/>
      <c r="M92" s="28"/>
      <c r="N92" s="28"/>
      <c r="O92" s="28">
        <f t="shared" ref="O92:O94" ca="1" si="20">+C$11+C$12*F92</f>
        <v>0.25350983823752826</v>
      </c>
      <c r="P92" s="28"/>
      <c r="Q92" s="76">
        <f t="shared" ref="Q92:Q94" si="21">+C92-15018.5</f>
        <v>44783.180200000003</v>
      </c>
    </row>
    <row r="93" spans="1:17" s="83" customFormat="1" ht="12" customHeight="1">
      <c r="A93" s="81" t="s">
        <v>307</v>
      </c>
      <c r="B93" s="82" t="s">
        <v>43</v>
      </c>
      <c r="C93" s="79">
        <v>59849.440300000002</v>
      </c>
      <c r="D93" s="77">
        <v>1E-4</v>
      </c>
      <c r="E93" s="28">
        <f t="shared" si="17"/>
        <v>14320.311152594861</v>
      </c>
      <c r="F93" s="28">
        <f t="shared" si="13"/>
        <v>14320</v>
      </c>
      <c r="G93" s="28">
        <f t="shared" si="18"/>
        <v>0.25402000000030966</v>
      </c>
      <c r="H93" s="29"/>
      <c r="I93" s="29"/>
      <c r="K93" s="30">
        <f t="shared" si="19"/>
        <v>0.25402000000030966</v>
      </c>
      <c r="L93" s="30"/>
      <c r="M93" s="28"/>
      <c r="N93" s="28"/>
      <c r="O93" s="28">
        <f t="shared" ca="1" si="20"/>
        <v>0.25453656348787734</v>
      </c>
      <c r="P93" s="28"/>
      <c r="Q93" s="76">
        <f t="shared" si="21"/>
        <v>44830.940300000002</v>
      </c>
    </row>
    <row r="94" spans="1:17" s="83" customFormat="1" ht="12" customHeight="1">
      <c r="A94" s="81" t="s">
        <v>307</v>
      </c>
      <c r="B94" s="82" t="s">
        <v>43</v>
      </c>
      <c r="C94" s="79">
        <v>59858.420100000003</v>
      </c>
      <c r="D94" s="77">
        <v>2.0000000000000001E-4</v>
      </c>
      <c r="E94" s="28">
        <f t="shared" si="17"/>
        <v>14331.310633231424</v>
      </c>
      <c r="F94" s="28">
        <f t="shared" si="13"/>
        <v>14331</v>
      </c>
      <c r="G94" s="28">
        <f t="shared" si="18"/>
        <v>0.25359600000228966</v>
      </c>
      <c r="H94" s="29"/>
      <c r="I94" s="29"/>
      <c r="K94" s="30">
        <f t="shared" si="19"/>
        <v>0.25359600000228966</v>
      </c>
      <c r="L94" s="30"/>
      <c r="M94" s="28"/>
      <c r="N94" s="28"/>
      <c r="O94" s="28">
        <f t="shared" ca="1" si="20"/>
        <v>0.2547296229366609</v>
      </c>
      <c r="P94" s="28"/>
      <c r="Q94" s="76">
        <f t="shared" si="21"/>
        <v>44839.920100000003</v>
      </c>
    </row>
    <row r="95" spans="1:17" s="83" customFormat="1" ht="12" customHeight="1">
      <c r="A95" s="81" t="s">
        <v>308</v>
      </c>
      <c r="B95" s="92" t="s">
        <v>44</v>
      </c>
      <c r="C95" s="93">
        <v>60165.797100000003</v>
      </c>
      <c r="D95" s="93">
        <v>2.0000000000000001E-4</v>
      </c>
      <c r="E95" s="28">
        <f t="shared" ref="E95:E96" si="22">+(C95-C$7)/C$8</f>
        <v>14707.820951904991</v>
      </c>
      <c r="F95" s="28">
        <f t="shared" ref="F95:F96" si="23">ROUND(2*E95,0)/2-0.5</f>
        <v>14707.5</v>
      </c>
      <c r="G95" s="28">
        <f t="shared" ref="G95:G96" si="24">+C95-(C$7+F95*C$8)</f>
        <v>0.26202000000193948</v>
      </c>
      <c r="H95" s="29"/>
      <c r="I95" s="29"/>
      <c r="K95" s="30">
        <f t="shared" ref="K95:K96" si="25">G95</f>
        <v>0.26202000000193948</v>
      </c>
      <c r="L95" s="30"/>
      <c r="M95" s="28"/>
      <c r="N95" s="28"/>
      <c r="O95" s="28">
        <f t="shared" ref="O95:O96" ca="1" si="26">+C$11+C$12*F95</f>
        <v>0.2613375213427534</v>
      </c>
      <c r="P95" s="28"/>
      <c r="Q95" s="76">
        <f t="shared" ref="Q95:Q96" si="27">+C95-15018.5</f>
        <v>45147.297100000003</v>
      </c>
    </row>
    <row r="96" spans="1:17" s="83" customFormat="1" ht="12" customHeight="1">
      <c r="A96" s="81" t="s">
        <v>308</v>
      </c>
      <c r="B96" s="92" t="s">
        <v>43</v>
      </c>
      <c r="C96" s="93">
        <v>60279.686500000003</v>
      </c>
      <c r="D96" s="93">
        <v>5.0000000000000001E-4</v>
      </c>
      <c r="E96" s="28">
        <f t="shared" si="22"/>
        <v>14847.325645774541</v>
      </c>
      <c r="F96" s="28">
        <f t="shared" si="23"/>
        <v>14847</v>
      </c>
      <c r="G96" s="28">
        <f t="shared" si="24"/>
        <v>0.26585200000408804</v>
      </c>
      <c r="H96" s="29"/>
      <c r="I96" s="29"/>
      <c r="K96" s="30">
        <f t="shared" si="25"/>
        <v>0.26585200000408804</v>
      </c>
      <c r="L96" s="30"/>
      <c r="M96" s="28"/>
      <c r="N96" s="28"/>
      <c r="O96" s="28">
        <f t="shared" ca="1" si="26"/>
        <v>0.26378586617050875</v>
      </c>
      <c r="P96" s="28"/>
      <c r="Q96" s="76">
        <f t="shared" si="27"/>
        <v>45261.186500000003</v>
      </c>
    </row>
    <row r="97" s="83" customFormat="1" ht="12" customHeight="1"/>
    <row r="98" s="83" customFormat="1" ht="12" customHeight="1"/>
    <row r="99" s="83" customFormat="1" ht="12" customHeight="1"/>
    <row r="100" s="83" customFormat="1" ht="12" customHeight="1"/>
    <row r="101" s="83" customFormat="1" ht="12" customHeight="1"/>
    <row r="102" s="83" customFormat="1" ht="12" customHeight="1"/>
    <row r="103" s="83" customFormat="1" ht="12" customHeight="1"/>
    <row r="104" s="83" customFormat="1" ht="12" customHeight="1"/>
    <row r="105" s="83" customFormat="1" ht="12" customHeight="1"/>
    <row r="106" s="83" customFormat="1" ht="12" customHeight="1"/>
    <row r="107" s="83" customFormat="1" ht="12" customHeight="1"/>
    <row r="108" s="83" customFormat="1" ht="12" customHeight="1"/>
    <row r="109" s="83" customFormat="1" ht="12" customHeight="1"/>
    <row r="110" s="83" customFormat="1" ht="12" customHeight="1"/>
    <row r="111" s="83" customFormat="1" ht="12" customHeight="1"/>
    <row r="112" s="83" customFormat="1" ht="12" customHeight="1"/>
    <row r="113" s="83" customFormat="1" ht="12" customHeight="1"/>
    <row r="114" s="83" customFormat="1" ht="12" customHeight="1"/>
    <row r="115" s="83" customFormat="1" ht="12" customHeight="1"/>
    <row r="116" s="83" customFormat="1" ht="12" customHeight="1"/>
    <row r="117" s="83" customFormat="1" ht="12" customHeight="1"/>
    <row r="118" s="83" customFormat="1" ht="12" customHeight="1"/>
    <row r="119" s="83" customFormat="1" ht="12" customHeight="1"/>
    <row r="120" s="83" customFormat="1" ht="12" customHeight="1"/>
    <row r="121" s="83" customFormat="1" ht="12" customHeight="1"/>
    <row r="122" s="83" customFormat="1" ht="12" customHeight="1"/>
    <row r="123" s="83" customFormat="1" ht="12" customHeight="1"/>
    <row r="124" s="83" customFormat="1" ht="12" customHeight="1"/>
    <row r="125" s="83" customFormat="1" ht="12" customHeight="1"/>
    <row r="126" s="83" customFormat="1" ht="12" customHeight="1"/>
    <row r="127" s="83" customFormat="1" ht="12" customHeight="1"/>
    <row r="128" s="83" customFormat="1" ht="12" customHeight="1"/>
    <row r="129" s="83" customFormat="1" ht="12" customHeight="1"/>
    <row r="130" s="83" customFormat="1" ht="12" customHeight="1"/>
    <row r="131" s="83" customFormat="1" ht="12" customHeight="1"/>
    <row r="132" s="83" customFormat="1" ht="12" customHeight="1"/>
    <row r="133" s="83" customFormat="1" ht="12" customHeight="1"/>
    <row r="134" s="83" customFormat="1" ht="12" customHeight="1"/>
    <row r="135" s="83" customFormat="1" ht="12" customHeight="1"/>
    <row r="136" s="83" customFormat="1" ht="12" customHeight="1"/>
    <row r="137" s="83" customFormat="1" ht="12" customHeight="1"/>
    <row r="138" s="83" customFormat="1" ht="12" customHeight="1"/>
    <row r="139" s="83" customFormat="1" ht="12" customHeight="1"/>
    <row r="140" s="83" customFormat="1" ht="12" customHeight="1"/>
    <row r="141" s="83" customFormat="1" ht="12" customHeight="1"/>
    <row r="142" s="83" customFormat="1" ht="12" customHeight="1"/>
    <row r="143" s="83" customFormat="1" ht="12" customHeight="1"/>
    <row r="144" s="83" customFormat="1" ht="12" customHeight="1"/>
    <row r="145" s="83" customFormat="1" ht="12" customHeight="1"/>
    <row r="146" s="83" customFormat="1" ht="12" customHeight="1"/>
    <row r="147" s="83" customFormat="1" ht="12" customHeight="1"/>
    <row r="148" s="83" customFormat="1" ht="12" customHeight="1"/>
    <row r="149" s="83" customFormat="1" ht="12" customHeight="1"/>
    <row r="150" s="83" customFormat="1" ht="12" customHeight="1"/>
    <row r="151" s="83" customFormat="1" ht="12" customHeight="1"/>
    <row r="152" s="83" customFormat="1" ht="12" customHeight="1"/>
    <row r="153" s="83" customFormat="1" ht="12" customHeight="1"/>
    <row r="154" s="83" customFormat="1" ht="12" customHeight="1"/>
    <row r="155" s="83" customFormat="1" ht="12" customHeight="1"/>
    <row r="156" s="83" customFormat="1" ht="12" customHeight="1"/>
    <row r="157" s="83" customFormat="1" ht="12" customHeight="1"/>
  </sheetData>
  <sheetProtection selectLockedCells="1" selectUnlockedCells="1"/>
  <sortState xmlns:xlrd2="http://schemas.microsoft.com/office/spreadsheetml/2017/richdata2" ref="A21:AE91">
    <sortCondition ref="C21:C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"/>
  <sheetViews>
    <sheetView topLeftCell="A22" workbookViewId="0">
      <selection activeCell="A56" sqref="A56"/>
    </sheetView>
  </sheetViews>
  <sheetFormatPr defaultRowHeight="12.75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6" t="s">
        <v>85</v>
      </c>
      <c r="I1" s="57" t="s">
        <v>86</v>
      </c>
      <c r="J1" s="58" t="s">
        <v>35</v>
      </c>
    </row>
    <row r="2" spans="1:16">
      <c r="I2" s="59" t="s">
        <v>87</v>
      </c>
      <c r="J2" s="60" t="s">
        <v>34</v>
      </c>
    </row>
    <row r="3" spans="1:16">
      <c r="A3" s="61" t="s">
        <v>88</v>
      </c>
      <c r="I3" s="59" t="s">
        <v>89</v>
      </c>
      <c r="J3" s="60" t="s">
        <v>32</v>
      </c>
    </row>
    <row r="4" spans="1:16">
      <c r="I4" s="59" t="s">
        <v>90</v>
      </c>
      <c r="J4" s="60" t="s">
        <v>32</v>
      </c>
    </row>
    <row r="5" spans="1:16">
      <c r="I5" s="62" t="s">
        <v>91</v>
      </c>
      <c r="J5" s="63" t="s">
        <v>33</v>
      </c>
    </row>
    <row r="11" spans="1:16" ht="12.75" customHeight="1">
      <c r="A11" s="24" t="str">
        <f t="shared" ref="A11:A42" si="0">P11</f>
        <v>IBVS 3579 </v>
      </c>
      <c r="B11" s="17" t="str">
        <f t="shared" ref="B11:B42" si="1">IF(H11=INT(H11),"I","II")</f>
        <v>I</v>
      </c>
      <c r="C11" s="24">
        <f t="shared" ref="C11:C42" si="2">1*G11</f>
        <v>48158.568500000001</v>
      </c>
      <c r="D11" t="str">
        <f t="shared" ref="D11:D42" si="3">VLOOKUP(F11,I$1:J$5,2,FALSE)</f>
        <v>vis</v>
      </c>
      <c r="E11">
        <f>VLOOKUP(C11,'Active 1'!C$21:E$968,3,FALSE)</f>
        <v>1.347405144289321E-3</v>
      </c>
      <c r="F11" s="17" t="s">
        <v>91</v>
      </c>
      <c r="G11" t="str">
        <f t="shared" ref="G11:G42" si="4">MID(I11,3,LEN(I11)-3)</f>
        <v>48158.5685</v>
      </c>
      <c r="H11" s="24">
        <f t="shared" ref="H11:H42" si="5">1*K11</f>
        <v>-5318</v>
      </c>
      <c r="I11" s="64" t="s">
        <v>92</v>
      </c>
      <c r="J11" s="65" t="s">
        <v>93</v>
      </c>
      <c r="K11" s="64">
        <v>-5318</v>
      </c>
      <c r="L11" s="64" t="s">
        <v>94</v>
      </c>
      <c r="M11" s="65" t="s">
        <v>95</v>
      </c>
      <c r="N11" s="65" t="s">
        <v>96</v>
      </c>
      <c r="O11" s="66" t="s">
        <v>97</v>
      </c>
      <c r="P11" s="67" t="s">
        <v>98</v>
      </c>
    </row>
    <row r="12" spans="1:16" ht="12.75" customHeight="1">
      <c r="A12" s="24" t="str">
        <f t="shared" si="0"/>
        <v>IBVS 3579 </v>
      </c>
      <c r="B12" s="17" t="str">
        <f t="shared" si="1"/>
        <v>II</v>
      </c>
      <c r="C12" s="24">
        <f t="shared" si="2"/>
        <v>48160.607499999998</v>
      </c>
      <c r="D12" t="str">
        <f t="shared" si="3"/>
        <v>vis</v>
      </c>
      <c r="E12">
        <f>VLOOKUP(C12,'Active 1'!C$21:E$968,3,FALSE)</f>
        <v>2.4989465741591541</v>
      </c>
      <c r="F12" s="17" t="s">
        <v>91</v>
      </c>
      <c r="G12" t="str">
        <f t="shared" si="4"/>
        <v>48160.6075</v>
      </c>
      <c r="H12" s="24">
        <f t="shared" si="5"/>
        <v>-5315.5</v>
      </c>
      <c r="I12" s="64" t="s">
        <v>99</v>
      </c>
      <c r="J12" s="65" t="s">
        <v>100</v>
      </c>
      <c r="K12" s="64">
        <v>-5315.5</v>
      </c>
      <c r="L12" s="64" t="s">
        <v>101</v>
      </c>
      <c r="M12" s="65" t="s">
        <v>95</v>
      </c>
      <c r="N12" s="65" t="s">
        <v>96</v>
      </c>
      <c r="O12" s="66" t="s">
        <v>97</v>
      </c>
      <c r="P12" s="67" t="s">
        <v>98</v>
      </c>
    </row>
    <row r="13" spans="1:16" ht="12.75" customHeight="1">
      <c r="A13" s="24" t="str">
        <f t="shared" si="0"/>
        <v>IBVS 3579 </v>
      </c>
      <c r="B13" s="17" t="str">
        <f t="shared" si="1"/>
        <v>I</v>
      </c>
      <c r="C13" s="24">
        <f t="shared" si="2"/>
        <v>48225.509899999997</v>
      </c>
      <c r="D13" t="str">
        <f t="shared" si="3"/>
        <v>vis</v>
      </c>
      <c r="E13">
        <f>VLOOKUP(C13,'Active 1'!C$21:E$968,3,FALSE)</f>
        <v>81.99878978519591</v>
      </c>
      <c r="F13" s="17" t="s">
        <v>91</v>
      </c>
      <c r="G13" t="str">
        <f t="shared" si="4"/>
        <v>48225.5099</v>
      </c>
      <c r="H13" s="24">
        <f t="shared" si="5"/>
        <v>-5236</v>
      </c>
      <c r="I13" s="64" t="s">
        <v>102</v>
      </c>
      <c r="J13" s="65" t="s">
        <v>103</v>
      </c>
      <c r="K13" s="64">
        <v>-5236</v>
      </c>
      <c r="L13" s="64" t="s">
        <v>104</v>
      </c>
      <c r="M13" s="65" t="s">
        <v>95</v>
      </c>
      <c r="N13" s="65" t="s">
        <v>105</v>
      </c>
      <c r="O13" s="66" t="s">
        <v>97</v>
      </c>
      <c r="P13" s="67" t="s">
        <v>98</v>
      </c>
    </row>
    <row r="14" spans="1:16" ht="12.75" customHeight="1">
      <c r="A14" s="24" t="str">
        <f t="shared" si="0"/>
        <v>IBVS 3579 </v>
      </c>
      <c r="B14" s="17" t="str">
        <f t="shared" si="1"/>
        <v>I</v>
      </c>
      <c r="C14" s="24">
        <f t="shared" si="2"/>
        <v>48225.512199999997</v>
      </c>
      <c r="D14" t="str">
        <f t="shared" si="3"/>
        <v>vis</v>
      </c>
      <c r="E14">
        <f>VLOOKUP(C14,'Active 1'!C$21:E$968,3,FALSE)</f>
        <v>82.001607086858002</v>
      </c>
      <c r="F14" s="17" t="s">
        <v>91</v>
      </c>
      <c r="G14" t="str">
        <f t="shared" si="4"/>
        <v>48225.5122</v>
      </c>
      <c r="H14" s="24">
        <f t="shared" si="5"/>
        <v>-5236</v>
      </c>
      <c r="I14" s="64" t="s">
        <v>106</v>
      </c>
      <c r="J14" s="65" t="s">
        <v>107</v>
      </c>
      <c r="K14" s="64">
        <v>-5236</v>
      </c>
      <c r="L14" s="64" t="s">
        <v>108</v>
      </c>
      <c r="M14" s="65" t="s">
        <v>95</v>
      </c>
      <c r="N14" s="65" t="s">
        <v>96</v>
      </c>
      <c r="O14" s="66" t="s">
        <v>97</v>
      </c>
      <c r="P14" s="67" t="s">
        <v>98</v>
      </c>
    </row>
    <row r="15" spans="1:16" ht="12.75" customHeight="1">
      <c r="A15" s="24" t="str">
        <f t="shared" si="0"/>
        <v> BBS 106 </v>
      </c>
      <c r="B15" s="17" t="str">
        <f t="shared" si="1"/>
        <v>II</v>
      </c>
      <c r="C15" s="24">
        <f t="shared" si="2"/>
        <v>49250.504000000001</v>
      </c>
      <c r="D15" t="str">
        <f t="shared" si="3"/>
        <v>vis</v>
      </c>
      <c r="E15">
        <f>VLOOKUP(C15,'Active 1'!C$21:E$968,3,FALSE)</f>
        <v>1337.5281730166207</v>
      </c>
      <c r="F15" s="17" t="s">
        <v>91</v>
      </c>
      <c r="G15" t="str">
        <f t="shared" si="4"/>
        <v>49250.504</v>
      </c>
      <c r="H15" s="24">
        <f t="shared" si="5"/>
        <v>-3980.5</v>
      </c>
      <c r="I15" s="64" t="s">
        <v>109</v>
      </c>
      <c r="J15" s="65" t="s">
        <v>110</v>
      </c>
      <c r="K15" s="64">
        <v>-3980.5</v>
      </c>
      <c r="L15" s="64" t="s">
        <v>111</v>
      </c>
      <c r="M15" s="65" t="s">
        <v>95</v>
      </c>
      <c r="N15" s="65" t="s">
        <v>96</v>
      </c>
      <c r="O15" s="66" t="s">
        <v>112</v>
      </c>
      <c r="P15" s="66" t="s">
        <v>113</v>
      </c>
    </row>
    <row r="16" spans="1:16" ht="12.75" customHeight="1">
      <c r="A16" s="24" t="str">
        <f t="shared" si="0"/>
        <v>JAAVSO 36(2);186 </v>
      </c>
      <c r="B16" s="17" t="str">
        <f t="shared" si="1"/>
        <v>I</v>
      </c>
      <c r="C16" s="24">
        <f t="shared" si="2"/>
        <v>52240.577700000002</v>
      </c>
      <c r="D16" t="str">
        <f t="shared" si="3"/>
        <v>vis</v>
      </c>
      <c r="E16">
        <f>VLOOKUP(C16,'Active 1'!C$21:E$968,3,FALSE)</f>
        <v>5000.1106097130787</v>
      </c>
      <c r="F16" s="17" t="s">
        <v>91</v>
      </c>
      <c r="G16" t="str">
        <f t="shared" si="4"/>
        <v>52240.5777</v>
      </c>
      <c r="H16" s="24">
        <f t="shared" si="5"/>
        <v>-318</v>
      </c>
      <c r="I16" s="64" t="s">
        <v>114</v>
      </c>
      <c r="J16" s="65" t="s">
        <v>115</v>
      </c>
      <c r="K16" s="64">
        <v>-318</v>
      </c>
      <c r="L16" s="64" t="s">
        <v>116</v>
      </c>
      <c r="M16" s="65" t="s">
        <v>117</v>
      </c>
      <c r="N16" s="65" t="s">
        <v>118</v>
      </c>
      <c r="O16" s="66" t="s">
        <v>119</v>
      </c>
      <c r="P16" s="67" t="s">
        <v>120</v>
      </c>
    </row>
    <row r="17" spans="1:16" ht="12.75" customHeight="1">
      <c r="A17" s="24" t="str">
        <f t="shared" si="0"/>
        <v>BAVM 158 </v>
      </c>
      <c r="B17" s="17" t="str">
        <f t="shared" si="1"/>
        <v>II</v>
      </c>
      <c r="C17" s="24">
        <f t="shared" si="2"/>
        <v>52505.499799999998</v>
      </c>
      <c r="D17" t="str">
        <f t="shared" si="3"/>
        <v>vis</v>
      </c>
      <c r="E17">
        <f>VLOOKUP(C17,'Active 1'!C$21:E$968,3,FALSE)</f>
        <v>5324.6173369394764</v>
      </c>
      <c r="F17" s="17" t="s">
        <v>91</v>
      </c>
      <c r="G17" t="str">
        <f t="shared" si="4"/>
        <v>52505.4998</v>
      </c>
      <c r="H17" s="24">
        <f t="shared" si="5"/>
        <v>6.5</v>
      </c>
      <c r="I17" s="64" t="s">
        <v>121</v>
      </c>
      <c r="J17" s="65" t="s">
        <v>122</v>
      </c>
      <c r="K17" s="64">
        <v>6.5</v>
      </c>
      <c r="L17" s="64" t="s">
        <v>123</v>
      </c>
      <c r="M17" s="65" t="s">
        <v>95</v>
      </c>
      <c r="N17" s="65" t="s">
        <v>118</v>
      </c>
      <c r="O17" s="66" t="s">
        <v>124</v>
      </c>
      <c r="P17" s="67" t="s">
        <v>125</v>
      </c>
    </row>
    <row r="18" spans="1:16" ht="12.75" customHeight="1">
      <c r="A18" s="24" t="str">
        <f t="shared" si="0"/>
        <v>BAVM 158 </v>
      </c>
      <c r="B18" s="17" t="str">
        <f t="shared" si="1"/>
        <v>II</v>
      </c>
      <c r="C18" s="24">
        <f t="shared" si="2"/>
        <v>52510.3966</v>
      </c>
      <c r="D18" t="str">
        <f t="shared" si="3"/>
        <v>vis</v>
      </c>
      <c r="E18">
        <f>VLOOKUP(C18,'Active 1'!C$21:E$968,3,FALSE)</f>
        <v>5330.6154946691759</v>
      </c>
      <c r="F18" s="17" t="s">
        <v>91</v>
      </c>
      <c r="G18" t="str">
        <f t="shared" si="4"/>
        <v>52510.3966</v>
      </c>
      <c r="H18" s="24">
        <f t="shared" si="5"/>
        <v>12.5</v>
      </c>
      <c r="I18" s="64" t="s">
        <v>126</v>
      </c>
      <c r="J18" s="65" t="s">
        <v>127</v>
      </c>
      <c r="K18" s="64">
        <v>12.5</v>
      </c>
      <c r="L18" s="64" t="s">
        <v>128</v>
      </c>
      <c r="M18" s="65" t="s">
        <v>95</v>
      </c>
      <c r="N18" s="65" t="s">
        <v>118</v>
      </c>
      <c r="O18" s="66" t="s">
        <v>124</v>
      </c>
      <c r="P18" s="67" t="s">
        <v>125</v>
      </c>
    </row>
    <row r="19" spans="1:16" ht="12.75" customHeight="1">
      <c r="A19" s="24" t="str">
        <f t="shared" si="0"/>
        <v>IBVS 5583 </v>
      </c>
      <c r="B19" s="17" t="str">
        <f t="shared" si="1"/>
        <v>I</v>
      </c>
      <c r="C19" s="24">
        <f t="shared" si="2"/>
        <v>52521.422299999998</v>
      </c>
      <c r="D19" t="str">
        <f t="shared" si="3"/>
        <v>vis</v>
      </c>
      <c r="E19">
        <f>VLOOKUP(C19,'Active 1'!C$21:E$968,3,FALSE)</f>
        <v>5344.1210263797411</v>
      </c>
      <c r="F19" s="17" t="s">
        <v>91</v>
      </c>
      <c r="G19" t="str">
        <f t="shared" si="4"/>
        <v>52521.4223</v>
      </c>
      <c r="H19" s="24">
        <f t="shared" si="5"/>
        <v>26</v>
      </c>
      <c r="I19" s="64" t="s">
        <v>129</v>
      </c>
      <c r="J19" s="65" t="s">
        <v>130</v>
      </c>
      <c r="K19" s="64">
        <v>26</v>
      </c>
      <c r="L19" s="64" t="s">
        <v>131</v>
      </c>
      <c r="M19" s="65" t="s">
        <v>95</v>
      </c>
      <c r="N19" s="65" t="s">
        <v>132</v>
      </c>
      <c r="O19" s="66" t="s">
        <v>133</v>
      </c>
      <c r="P19" s="67" t="s">
        <v>134</v>
      </c>
    </row>
    <row r="20" spans="1:16" ht="12.75" customHeight="1">
      <c r="A20" s="24" t="str">
        <f t="shared" si="0"/>
        <v>JAAVSO 36(2);186 </v>
      </c>
      <c r="B20" s="17" t="str">
        <f t="shared" si="1"/>
        <v>II</v>
      </c>
      <c r="C20" s="24">
        <f t="shared" si="2"/>
        <v>52602.652999999998</v>
      </c>
      <c r="D20" t="str">
        <f t="shared" si="3"/>
        <v>vis</v>
      </c>
      <c r="E20">
        <f>VLOOKUP(C20,'Active 1'!C$21:E$968,3,FALSE)</f>
        <v>5443.6216290373141</v>
      </c>
      <c r="F20" s="17" t="s">
        <v>91</v>
      </c>
      <c r="G20" t="str">
        <f t="shared" si="4"/>
        <v>52602.653</v>
      </c>
      <c r="H20" s="24">
        <f t="shared" si="5"/>
        <v>125.5</v>
      </c>
      <c r="I20" s="64" t="s">
        <v>135</v>
      </c>
      <c r="J20" s="65" t="s">
        <v>136</v>
      </c>
      <c r="K20" s="64">
        <v>125.5</v>
      </c>
      <c r="L20" s="64" t="s">
        <v>137</v>
      </c>
      <c r="M20" s="65" t="s">
        <v>117</v>
      </c>
      <c r="N20" s="65" t="s">
        <v>118</v>
      </c>
      <c r="O20" s="66" t="s">
        <v>138</v>
      </c>
      <c r="P20" s="67" t="s">
        <v>120</v>
      </c>
    </row>
    <row r="21" spans="1:16" ht="12.75" customHeight="1">
      <c r="A21" s="24" t="str">
        <f t="shared" si="0"/>
        <v>BAVM 172 </v>
      </c>
      <c r="B21" s="17" t="str">
        <f t="shared" si="1"/>
        <v>II</v>
      </c>
      <c r="C21" s="24">
        <f t="shared" si="2"/>
        <v>52878.596599999997</v>
      </c>
      <c r="D21" t="str">
        <f t="shared" si="3"/>
        <v>vis</v>
      </c>
      <c r="E21">
        <f>VLOOKUP(C21,'Active 1'!C$21:E$968,3,FALSE)</f>
        <v>5781.628743336466</v>
      </c>
      <c r="F21" s="17" t="s">
        <v>91</v>
      </c>
      <c r="G21" t="str">
        <f t="shared" si="4"/>
        <v>52878.5966</v>
      </c>
      <c r="H21" s="24">
        <f t="shared" si="5"/>
        <v>463.5</v>
      </c>
      <c r="I21" s="64" t="s">
        <v>139</v>
      </c>
      <c r="J21" s="65" t="s">
        <v>140</v>
      </c>
      <c r="K21" s="64">
        <v>463.5</v>
      </c>
      <c r="L21" s="64" t="s">
        <v>141</v>
      </c>
      <c r="M21" s="65" t="s">
        <v>95</v>
      </c>
      <c r="N21" s="65" t="s">
        <v>118</v>
      </c>
      <c r="O21" s="66" t="s">
        <v>124</v>
      </c>
      <c r="P21" s="67" t="s">
        <v>142</v>
      </c>
    </row>
    <row r="22" spans="1:16" ht="12.75" customHeight="1">
      <c r="A22" s="24" t="str">
        <f t="shared" si="0"/>
        <v>IBVS 5592 </v>
      </c>
      <c r="B22" s="17" t="str">
        <f t="shared" si="1"/>
        <v>I</v>
      </c>
      <c r="C22" s="24">
        <f t="shared" si="2"/>
        <v>52886.352200000001</v>
      </c>
      <c r="D22" t="str">
        <f t="shared" si="3"/>
        <v>vis</v>
      </c>
      <c r="E22">
        <f>VLOOKUP(C22,'Active 1'!C$21:E$968,3,FALSE)</f>
        <v>5791.1286845406103</v>
      </c>
      <c r="F22" s="17" t="s">
        <v>91</v>
      </c>
      <c r="G22" t="str">
        <f t="shared" si="4"/>
        <v>52886.3522</v>
      </c>
      <c r="H22" s="24">
        <f t="shared" si="5"/>
        <v>473</v>
      </c>
      <c r="I22" s="64" t="s">
        <v>143</v>
      </c>
      <c r="J22" s="65" t="s">
        <v>144</v>
      </c>
      <c r="K22" s="64">
        <v>473</v>
      </c>
      <c r="L22" s="64" t="s">
        <v>145</v>
      </c>
      <c r="M22" s="65" t="s">
        <v>95</v>
      </c>
      <c r="N22" s="65" t="s">
        <v>96</v>
      </c>
      <c r="O22" s="66" t="s">
        <v>146</v>
      </c>
      <c r="P22" s="67" t="s">
        <v>147</v>
      </c>
    </row>
    <row r="23" spans="1:16" ht="12.75" customHeight="1">
      <c r="A23" s="24" t="str">
        <f t="shared" si="0"/>
        <v>BAVM 172 </v>
      </c>
      <c r="B23" s="17" t="str">
        <f t="shared" si="1"/>
        <v>II</v>
      </c>
      <c r="C23" s="24">
        <f t="shared" si="2"/>
        <v>52887.5769</v>
      </c>
      <c r="D23" t="str">
        <f t="shared" si="3"/>
        <v>vis</v>
      </c>
      <c r="E23">
        <f>VLOOKUP(C23,'Active 1'!C$21:E$968,3,FALSE)</f>
        <v>5792.6288364299153</v>
      </c>
      <c r="F23" s="17" t="s">
        <v>91</v>
      </c>
      <c r="G23" t="str">
        <f t="shared" si="4"/>
        <v>52887.5769</v>
      </c>
      <c r="H23" s="24">
        <f t="shared" si="5"/>
        <v>474.5</v>
      </c>
      <c r="I23" s="64" t="s">
        <v>148</v>
      </c>
      <c r="J23" s="65" t="s">
        <v>149</v>
      </c>
      <c r="K23" s="64">
        <v>474.5</v>
      </c>
      <c r="L23" s="64" t="s">
        <v>150</v>
      </c>
      <c r="M23" s="65" t="s">
        <v>95</v>
      </c>
      <c r="N23" s="65" t="s">
        <v>118</v>
      </c>
      <c r="O23" s="66" t="s">
        <v>124</v>
      </c>
      <c r="P23" s="67" t="s">
        <v>142</v>
      </c>
    </row>
    <row r="24" spans="1:16" ht="12.75" customHeight="1">
      <c r="A24" s="24" t="str">
        <f t="shared" si="0"/>
        <v>JAAVSO 36(2);186 </v>
      </c>
      <c r="B24" s="17" t="str">
        <f t="shared" si="1"/>
        <v>I</v>
      </c>
      <c r="C24" s="24">
        <f t="shared" si="2"/>
        <v>52920.639999999999</v>
      </c>
      <c r="D24" t="str">
        <f t="shared" si="3"/>
        <v>vis</v>
      </c>
      <c r="E24">
        <f>VLOOKUP(C24,'Active 1'!C$21:E$968,3,FALSE)</f>
        <v>5833.1282827688929</v>
      </c>
      <c r="F24" s="17" t="s">
        <v>91</v>
      </c>
      <c r="G24" t="str">
        <f t="shared" si="4"/>
        <v>52920.64</v>
      </c>
      <c r="H24" s="24">
        <f t="shared" si="5"/>
        <v>515</v>
      </c>
      <c r="I24" s="64" t="s">
        <v>151</v>
      </c>
      <c r="J24" s="65" t="s">
        <v>152</v>
      </c>
      <c r="K24" s="64">
        <v>515</v>
      </c>
      <c r="L24" s="64" t="s">
        <v>153</v>
      </c>
      <c r="M24" s="65" t="s">
        <v>117</v>
      </c>
      <c r="N24" s="65" t="s">
        <v>118</v>
      </c>
      <c r="O24" s="66" t="s">
        <v>154</v>
      </c>
      <c r="P24" s="67" t="s">
        <v>120</v>
      </c>
    </row>
    <row r="25" spans="1:16" ht="12.75" customHeight="1">
      <c r="A25" s="24" t="str">
        <f t="shared" si="0"/>
        <v>IBVS 5676 </v>
      </c>
      <c r="B25" s="17" t="str">
        <f t="shared" si="1"/>
        <v>II</v>
      </c>
      <c r="C25" s="24">
        <f t="shared" si="2"/>
        <v>52982.277499999997</v>
      </c>
      <c r="D25" t="str">
        <f t="shared" si="3"/>
        <v>vis</v>
      </c>
      <c r="E25">
        <f>VLOOKUP(C25,'Active 1'!C$21:E$968,3,FALSE)</f>
        <v>5908.6289050250825</v>
      </c>
      <c r="F25" s="17" t="s">
        <v>91</v>
      </c>
      <c r="G25" t="str">
        <f t="shared" si="4"/>
        <v>52982.2775</v>
      </c>
      <c r="H25" s="24">
        <f t="shared" si="5"/>
        <v>590.5</v>
      </c>
      <c r="I25" s="64" t="s">
        <v>155</v>
      </c>
      <c r="J25" s="65" t="s">
        <v>156</v>
      </c>
      <c r="K25" s="64">
        <v>590.5</v>
      </c>
      <c r="L25" s="64" t="s">
        <v>157</v>
      </c>
      <c r="M25" s="65" t="s">
        <v>95</v>
      </c>
      <c r="N25" s="65" t="s">
        <v>96</v>
      </c>
      <c r="O25" s="66" t="s">
        <v>158</v>
      </c>
      <c r="P25" s="67" t="s">
        <v>159</v>
      </c>
    </row>
    <row r="26" spans="1:16" ht="12.75" customHeight="1">
      <c r="A26" s="24" t="str">
        <f t="shared" si="0"/>
        <v>BAVM 173 </v>
      </c>
      <c r="B26" s="17" t="str">
        <f t="shared" si="1"/>
        <v>II</v>
      </c>
      <c r="C26" s="24">
        <f t="shared" si="2"/>
        <v>53221.485000000001</v>
      </c>
      <c r="D26" t="str">
        <f t="shared" si="3"/>
        <v>vis</v>
      </c>
      <c r="E26">
        <f>VLOOKUP(C26,'Active 1'!C$21:E$968,3,FALSE)</f>
        <v>6201.6374647224848</v>
      </c>
      <c r="F26" s="17" t="s">
        <v>91</v>
      </c>
      <c r="G26" t="str">
        <f t="shared" si="4"/>
        <v>53221.4850</v>
      </c>
      <c r="H26" s="24">
        <f t="shared" si="5"/>
        <v>883.5</v>
      </c>
      <c r="I26" s="64" t="s">
        <v>160</v>
      </c>
      <c r="J26" s="65" t="s">
        <v>161</v>
      </c>
      <c r="K26" s="64">
        <v>883.5</v>
      </c>
      <c r="L26" s="64" t="s">
        <v>162</v>
      </c>
      <c r="M26" s="65" t="s">
        <v>95</v>
      </c>
      <c r="N26" s="65" t="s">
        <v>118</v>
      </c>
      <c r="O26" s="66" t="s">
        <v>124</v>
      </c>
      <c r="P26" s="67" t="s">
        <v>163</v>
      </c>
    </row>
    <row r="27" spans="1:16" ht="12.75" customHeight="1">
      <c r="A27" s="24" t="str">
        <f t="shared" si="0"/>
        <v>BAVM 173 </v>
      </c>
      <c r="B27" s="17" t="str">
        <f t="shared" si="1"/>
        <v>I</v>
      </c>
      <c r="C27" s="24">
        <f t="shared" si="2"/>
        <v>53228.428399999997</v>
      </c>
      <c r="D27" t="str">
        <f t="shared" si="3"/>
        <v>vis</v>
      </c>
      <c r="E27">
        <f>VLOOKUP(C27,'Active 1'!C$21:E$968,3,FALSE)</f>
        <v>6210.1425309658161</v>
      </c>
      <c r="F27" s="17" t="s">
        <v>91</v>
      </c>
      <c r="G27" t="str">
        <f t="shared" si="4"/>
        <v>53228.4284</v>
      </c>
      <c r="H27" s="24">
        <f t="shared" si="5"/>
        <v>892</v>
      </c>
      <c r="I27" s="64" t="s">
        <v>164</v>
      </c>
      <c r="J27" s="65" t="s">
        <v>165</v>
      </c>
      <c r="K27" s="64">
        <v>892</v>
      </c>
      <c r="L27" s="64" t="s">
        <v>166</v>
      </c>
      <c r="M27" s="65" t="s">
        <v>95</v>
      </c>
      <c r="N27" s="65" t="s">
        <v>118</v>
      </c>
      <c r="O27" s="66" t="s">
        <v>124</v>
      </c>
      <c r="P27" s="67" t="s">
        <v>163</v>
      </c>
    </row>
    <row r="28" spans="1:16" ht="12.75" customHeight="1">
      <c r="A28" s="24" t="str">
        <f t="shared" si="0"/>
        <v>BAVM 173 </v>
      </c>
      <c r="B28" s="17" t="str">
        <f t="shared" si="1"/>
        <v>I</v>
      </c>
      <c r="C28" s="24">
        <f t="shared" si="2"/>
        <v>53250.466099999998</v>
      </c>
      <c r="D28" t="str">
        <f t="shared" si="3"/>
        <v>vis</v>
      </c>
      <c r="E28">
        <f>VLOOKUP(C28,'Active 1'!C$21:E$968,3,FALSE)</f>
        <v>6237.1368130683577</v>
      </c>
      <c r="F28" s="17" t="s">
        <v>91</v>
      </c>
      <c r="G28" t="str">
        <f t="shared" si="4"/>
        <v>53250.4661</v>
      </c>
      <c r="H28" s="24">
        <f t="shared" si="5"/>
        <v>919</v>
      </c>
      <c r="I28" s="64" t="s">
        <v>167</v>
      </c>
      <c r="J28" s="65" t="s">
        <v>168</v>
      </c>
      <c r="K28" s="64">
        <v>919</v>
      </c>
      <c r="L28" s="64" t="s">
        <v>169</v>
      </c>
      <c r="M28" s="65" t="s">
        <v>95</v>
      </c>
      <c r="N28" s="65" t="s">
        <v>118</v>
      </c>
      <c r="O28" s="66" t="s">
        <v>124</v>
      </c>
      <c r="P28" s="67" t="s">
        <v>163</v>
      </c>
    </row>
    <row r="29" spans="1:16" ht="12.75" customHeight="1">
      <c r="A29" s="24" t="str">
        <f t="shared" si="0"/>
        <v>BAVM 173 </v>
      </c>
      <c r="B29" s="17" t="str">
        <f t="shared" si="1"/>
        <v>I</v>
      </c>
      <c r="C29" s="24">
        <f t="shared" si="2"/>
        <v>53255.366300000002</v>
      </c>
      <c r="D29" t="str">
        <f t="shared" si="3"/>
        <v>vis</v>
      </c>
      <c r="E29">
        <f>VLOOKUP(C29,'Active 1'!C$21:E$968,3,FALSE)</f>
        <v>6243.1391355048627</v>
      </c>
      <c r="F29" s="17" t="s">
        <v>91</v>
      </c>
      <c r="G29" t="str">
        <f t="shared" si="4"/>
        <v>53255.3663</v>
      </c>
      <c r="H29" s="24">
        <f t="shared" si="5"/>
        <v>925</v>
      </c>
      <c r="I29" s="64" t="s">
        <v>170</v>
      </c>
      <c r="J29" s="65" t="s">
        <v>171</v>
      </c>
      <c r="K29" s="64">
        <v>925</v>
      </c>
      <c r="L29" s="64" t="s">
        <v>172</v>
      </c>
      <c r="M29" s="65" t="s">
        <v>95</v>
      </c>
      <c r="N29" s="65" t="s">
        <v>118</v>
      </c>
      <c r="O29" s="66" t="s">
        <v>124</v>
      </c>
      <c r="P29" s="67" t="s">
        <v>163</v>
      </c>
    </row>
    <row r="30" spans="1:16" ht="12.75" customHeight="1">
      <c r="A30" s="24" t="str">
        <f t="shared" si="0"/>
        <v>BAVM 173 </v>
      </c>
      <c r="B30" s="17" t="str">
        <f t="shared" si="1"/>
        <v>II</v>
      </c>
      <c r="C30" s="24">
        <f t="shared" si="2"/>
        <v>53257.405200000001</v>
      </c>
      <c r="D30" t="str">
        <f t="shared" si="3"/>
        <v>vis</v>
      </c>
      <c r="E30">
        <f>VLOOKUP(C30,'Active 1'!C$21:E$968,3,FALSE)</f>
        <v>6245.636612182504</v>
      </c>
      <c r="F30" s="17" t="s">
        <v>91</v>
      </c>
      <c r="G30" t="str">
        <f t="shared" si="4"/>
        <v>53257.4052</v>
      </c>
      <c r="H30" s="24">
        <f t="shared" si="5"/>
        <v>927.5</v>
      </c>
      <c r="I30" s="64" t="s">
        <v>173</v>
      </c>
      <c r="J30" s="65" t="s">
        <v>174</v>
      </c>
      <c r="K30" s="64">
        <v>927.5</v>
      </c>
      <c r="L30" s="64" t="s">
        <v>175</v>
      </c>
      <c r="M30" s="65" t="s">
        <v>95</v>
      </c>
      <c r="N30" s="65" t="s">
        <v>118</v>
      </c>
      <c r="O30" s="66" t="s">
        <v>124</v>
      </c>
      <c r="P30" s="67" t="s">
        <v>163</v>
      </c>
    </row>
    <row r="31" spans="1:16" ht="12.75" customHeight="1">
      <c r="A31" s="24" t="str">
        <f t="shared" si="0"/>
        <v>JAAVSO 36(2);186 </v>
      </c>
      <c r="B31" s="17" t="str">
        <f t="shared" si="1"/>
        <v>II</v>
      </c>
      <c r="C31" s="24">
        <f t="shared" si="2"/>
        <v>53589.6806</v>
      </c>
      <c r="D31" t="str">
        <f t="shared" si="3"/>
        <v>vis</v>
      </c>
      <c r="E31">
        <f>VLOOKUP(C31,'Active 1'!C$21:E$968,3,FALSE)</f>
        <v>6652.6453237692067</v>
      </c>
      <c r="F31" s="17" t="s">
        <v>91</v>
      </c>
      <c r="G31" t="str">
        <f t="shared" si="4"/>
        <v>53589.6806</v>
      </c>
      <c r="H31" s="24">
        <f t="shared" si="5"/>
        <v>1334.5</v>
      </c>
      <c r="I31" s="64" t="s">
        <v>176</v>
      </c>
      <c r="J31" s="65" t="s">
        <v>177</v>
      </c>
      <c r="K31" s="64">
        <v>1334.5</v>
      </c>
      <c r="L31" s="64" t="s">
        <v>178</v>
      </c>
      <c r="M31" s="65" t="s">
        <v>117</v>
      </c>
      <c r="N31" s="65" t="s">
        <v>118</v>
      </c>
      <c r="O31" s="66" t="s">
        <v>138</v>
      </c>
      <c r="P31" s="67" t="s">
        <v>120</v>
      </c>
    </row>
    <row r="32" spans="1:16" ht="12.75" customHeight="1">
      <c r="A32" s="24" t="str">
        <f t="shared" si="0"/>
        <v>BAVM 178 </v>
      </c>
      <c r="B32" s="17" t="str">
        <f t="shared" si="1"/>
        <v>I</v>
      </c>
      <c r="C32" s="24">
        <f t="shared" si="2"/>
        <v>53601.520100000002</v>
      </c>
      <c r="D32" t="str">
        <f t="shared" si="3"/>
        <v>vis</v>
      </c>
      <c r="E32">
        <f>VLOOKUP(C32,'Active 1'!C$21:E$968,3,FALSE)</f>
        <v>6667.147690302605</v>
      </c>
      <c r="F32" s="17" t="s">
        <v>91</v>
      </c>
      <c r="G32" t="str">
        <f t="shared" si="4"/>
        <v>53601.5201</v>
      </c>
      <c r="H32" s="24">
        <f t="shared" si="5"/>
        <v>1349</v>
      </c>
      <c r="I32" s="64" t="s">
        <v>179</v>
      </c>
      <c r="J32" s="65" t="s">
        <v>180</v>
      </c>
      <c r="K32" s="64">
        <v>1349</v>
      </c>
      <c r="L32" s="64" t="s">
        <v>145</v>
      </c>
      <c r="M32" s="65" t="s">
        <v>117</v>
      </c>
      <c r="N32" s="65" t="s">
        <v>181</v>
      </c>
      <c r="O32" s="66" t="s">
        <v>124</v>
      </c>
      <c r="P32" s="67" t="s">
        <v>182</v>
      </c>
    </row>
    <row r="33" spans="1:16" ht="12.75" customHeight="1">
      <c r="A33" s="24" t="str">
        <f t="shared" si="0"/>
        <v>BAVM 178 </v>
      </c>
      <c r="B33" s="17" t="str">
        <f t="shared" si="1"/>
        <v>II</v>
      </c>
      <c r="C33" s="24">
        <f t="shared" si="2"/>
        <v>53613.355100000001</v>
      </c>
      <c r="D33" t="str">
        <f t="shared" si="3"/>
        <v>vis</v>
      </c>
      <c r="E33">
        <f>VLOOKUP(C33,'Active 1'!C$21:E$968,3,FALSE)</f>
        <v>6681.6445447240521</v>
      </c>
      <c r="F33" s="17" t="s">
        <v>91</v>
      </c>
      <c r="G33" t="str">
        <f t="shared" si="4"/>
        <v>53613.3551</v>
      </c>
      <c r="H33" s="24">
        <f t="shared" si="5"/>
        <v>1363.5</v>
      </c>
      <c r="I33" s="64" t="s">
        <v>183</v>
      </c>
      <c r="J33" s="65" t="s">
        <v>184</v>
      </c>
      <c r="K33" s="64" t="s">
        <v>185</v>
      </c>
      <c r="L33" s="64" t="s">
        <v>186</v>
      </c>
      <c r="M33" s="65" t="s">
        <v>117</v>
      </c>
      <c r="N33" s="65" t="s">
        <v>181</v>
      </c>
      <c r="O33" s="66" t="s">
        <v>124</v>
      </c>
      <c r="P33" s="67" t="s">
        <v>182</v>
      </c>
    </row>
    <row r="34" spans="1:16" ht="12.75" customHeight="1">
      <c r="A34" s="24" t="str">
        <f t="shared" si="0"/>
        <v>OEJV 0074 </v>
      </c>
      <c r="B34" s="17" t="str">
        <f t="shared" si="1"/>
        <v>II</v>
      </c>
      <c r="C34" s="24">
        <f t="shared" si="2"/>
        <v>53617.440649999997</v>
      </c>
      <c r="D34" t="str">
        <f t="shared" si="3"/>
        <v>vis</v>
      </c>
      <c r="E34">
        <f>VLOOKUP(C34,'Active 1'!C$21:E$968,3,FALSE)</f>
        <v>6686.6489911610188</v>
      </c>
      <c r="F34" s="17" t="s">
        <v>91</v>
      </c>
      <c r="G34" t="str">
        <f t="shared" si="4"/>
        <v>53617.44065</v>
      </c>
      <c r="H34" s="24">
        <f t="shared" si="5"/>
        <v>1368.5</v>
      </c>
      <c r="I34" s="64" t="s">
        <v>187</v>
      </c>
      <c r="J34" s="65" t="s">
        <v>188</v>
      </c>
      <c r="K34" s="64" t="s">
        <v>189</v>
      </c>
      <c r="L34" s="64" t="s">
        <v>190</v>
      </c>
      <c r="M34" s="65" t="s">
        <v>117</v>
      </c>
      <c r="N34" s="65" t="s">
        <v>132</v>
      </c>
      <c r="O34" s="66" t="s">
        <v>191</v>
      </c>
      <c r="P34" s="67" t="s">
        <v>192</v>
      </c>
    </row>
    <row r="35" spans="1:16" ht="12.75" customHeight="1">
      <c r="A35" s="24" t="str">
        <f t="shared" si="0"/>
        <v>IBVS 5677 </v>
      </c>
      <c r="B35" s="17" t="str">
        <f t="shared" si="1"/>
        <v>I</v>
      </c>
      <c r="C35" s="24">
        <f t="shared" si="2"/>
        <v>53627.644899999999</v>
      </c>
      <c r="D35" t="str">
        <f t="shared" si="3"/>
        <v>vis</v>
      </c>
      <c r="E35">
        <f>VLOOKUP(C35,'Active 1'!C$21:E$968,3,FALSE)</f>
        <v>6699.14831745845</v>
      </c>
      <c r="F35" s="17" t="s">
        <v>91</v>
      </c>
      <c r="G35" t="str">
        <f t="shared" si="4"/>
        <v>53627.6449</v>
      </c>
      <c r="H35" s="24">
        <f t="shared" si="5"/>
        <v>1381</v>
      </c>
      <c r="I35" s="64" t="s">
        <v>193</v>
      </c>
      <c r="J35" s="65" t="s">
        <v>194</v>
      </c>
      <c r="K35" s="64" t="s">
        <v>195</v>
      </c>
      <c r="L35" s="64" t="s">
        <v>145</v>
      </c>
      <c r="M35" s="65" t="s">
        <v>95</v>
      </c>
      <c r="N35" s="65" t="s">
        <v>96</v>
      </c>
      <c r="O35" s="66" t="s">
        <v>119</v>
      </c>
      <c r="P35" s="67" t="s">
        <v>196</v>
      </c>
    </row>
    <row r="36" spans="1:16" ht="12.75" customHeight="1">
      <c r="A36" s="24" t="str">
        <f t="shared" si="0"/>
        <v>BAVM 178 </v>
      </c>
      <c r="B36" s="17" t="str">
        <f t="shared" si="1"/>
        <v>I</v>
      </c>
      <c r="C36" s="24">
        <f t="shared" si="2"/>
        <v>53659.483399999997</v>
      </c>
      <c r="D36" t="str">
        <f t="shared" si="3"/>
        <v>vis</v>
      </c>
      <c r="E36">
        <f>VLOOKUP(C36,'Active 1'!C$21:E$968,3,FALSE)</f>
        <v>6738.1477343994948</v>
      </c>
      <c r="F36" s="17" t="s">
        <v>91</v>
      </c>
      <c r="G36" t="str">
        <f t="shared" si="4"/>
        <v>53659.4834</v>
      </c>
      <c r="H36" s="24">
        <f t="shared" si="5"/>
        <v>1420</v>
      </c>
      <c r="I36" s="64" t="s">
        <v>197</v>
      </c>
      <c r="J36" s="65" t="s">
        <v>198</v>
      </c>
      <c r="K36" s="64" t="s">
        <v>199</v>
      </c>
      <c r="L36" s="64" t="s">
        <v>200</v>
      </c>
      <c r="M36" s="65" t="s">
        <v>117</v>
      </c>
      <c r="N36" s="65" t="s">
        <v>181</v>
      </c>
      <c r="O36" s="66" t="s">
        <v>201</v>
      </c>
      <c r="P36" s="67" t="s">
        <v>182</v>
      </c>
    </row>
    <row r="37" spans="1:16" ht="12.75" customHeight="1">
      <c r="A37" s="24" t="str">
        <f t="shared" si="0"/>
        <v>IBVS 5898 </v>
      </c>
      <c r="B37" s="17" t="str">
        <f t="shared" si="1"/>
        <v>II</v>
      </c>
      <c r="C37" s="24">
        <f t="shared" si="2"/>
        <v>53928.486400000002</v>
      </c>
      <c r="D37" t="str">
        <f t="shared" si="3"/>
        <v>vis</v>
      </c>
      <c r="E37">
        <f>VLOOKUP(C37,'Active 1'!C$21:E$968,3,FALSE)</f>
        <v>7067.6532122138624</v>
      </c>
      <c r="F37" s="17" t="s">
        <v>91</v>
      </c>
      <c r="G37" t="str">
        <f t="shared" si="4"/>
        <v>53928.4864</v>
      </c>
      <c r="H37" s="24">
        <f t="shared" si="5"/>
        <v>1749.5</v>
      </c>
      <c r="I37" s="64" t="s">
        <v>202</v>
      </c>
      <c r="J37" s="65" t="s">
        <v>203</v>
      </c>
      <c r="K37" s="64" t="s">
        <v>204</v>
      </c>
      <c r="L37" s="64" t="s">
        <v>128</v>
      </c>
      <c r="M37" s="65" t="s">
        <v>117</v>
      </c>
      <c r="N37" s="65" t="s">
        <v>91</v>
      </c>
      <c r="O37" s="66" t="s">
        <v>205</v>
      </c>
      <c r="P37" s="67" t="s">
        <v>206</v>
      </c>
    </row>
    <row r="38" spans="1:16" ht="12.75" customHeight="1">
      <c r="A38" s="24" t="str">
        <f t="shared" si="0"/>
        <v>BAVM 183 </v>
      </c>
      <c r="B38" s="17" t="str">
        <f t="shared" si="1"/>
        <v>I</v>
      </c>
      <c r="C38" s="24">
        <f t="shared" si="2"/>
        <v>53966.451999999997</v>
      </c>
      <c r="D38" t="str">
        <f t="shared" si="3"/>
        <v>vis</v>
      </c>
      <c r="E38">
        <f>VLOOKUP(C38,'Active 1'!C$21:E$968,3,FALSE)</f>
        <v>7114.1577982909976</v>
      </c>
      <c r="F38" s="17" t="s">
        <v>91</v>
      </c>
      <c r="G38" t="str">
        <f t="shared" si="4"/>
        <v>53966.4520</v>
      </c>
      <c r="H38" s="24">
        <f t="shared" si="5"/>
        <v>1796</v>
      </c>
      <c r="I38" s="64" t="s">
        <v>207</v>
      </c>
      <c r="J38" s="65" t="s">
        <v>208</v>
      </c>
      <c r="K38" s="64" t="s">
        <v>209</v>
      </c>
      <c r="L38" s="64" t="s">
        <v>210</v>
      </c>
      <c r="M38" s="65" t="s">
        <v>117</v>
      </c>
      <c r="N38" s="65" t="s">
        <v>181</v>
      </c>
      <c r="O38" s="66" t="s">
        <v>124</v>
      </c>
      <c r="P38" s="67" t="s">
        <v>211</v>
      </c>
    </row>
    <row r="39" spans="1:16" ht="12.75" customHeight="1">
      <c r="A39" s="24" t="str">
        <f t="shared" si="0"/>
        <v>BAVM 183 </v>
      </c>
      <c r="B39" s="17" t="str">
        <f t="shared" si="1"/>
        <v>I</v>
      </c>
      <c r="C39" s="24">
        <f t="shared" si="2"/>
        <v>54002.371700000003</v>
      </c>
      <c r="D39" t="str">
        <f t="shared" si="3"/>
        <v>vis</v>
      </c>
      <c r="E39">
        <f>VLOOKUP(C39,'Active 1'!C$21:E$968,3,FALSE)</f>
        <v>7158.1563332941405</v>
      </c>
      <c r="F39" s="17" t="s">
        <v>91</v>
      </c>
      <c r="G39" t="str">
        <f t="shared" si="4"/>
        <v>54002.3717</v>
      </c>
      <c r="H39" s="24">
        <f t="shared" si="5"/>
        <v>1840</v>
      </c>
      <c r="I39" s="64" t="s">
        <v>212</v>
      </c>
      <c r="J39" s="65" t="s">
        <v>213</v>
      </c>
      <c r="K39" s="64" t="s">
        <v>214</v>
      </c>
      <c r="L39" s="64" t="s">
        <v>175</v>
      </c>
      <c r="M39" s="65" t="s">
        <v>117</v>
      </c>
      <c r="N39" s="65" t="s">
        <v>118</v>
      </c>
      <c r="O39" s="66" t="s">
        <v>215</v>
      </c>
      <c r="P39" s="67" t="s">
        <v>211</v>
      </c>
    </row>
    <row r="40" spans="1:16" ht="12.75" customHeight="1">
      <c r="A40" s="24" t="str">
        <f t="shared" si="0"/>
        <v>IBVS 5898 </v>
      </c>
      <c r="B40" s="17" t="str">
        <f t="shared" si="1"/>
        <v>II</v>
      </c>
      <c r="C40" s="24">
        <f t="shared" si="2"/>
        <v>54297.501499999998</v>
      </c>
      <c r="D40" t="str">
        <f t="shared" si="3"/>
        <v>vis</v>
      </c>
      <c r="E40">
        <f>VLOOKUP(C40,'Active 1'!C$21:E$968,3,FALSE)</f>
        <v>7519.6648880918765</v>
      </c>
      <c r="F40" s="17" t="s">
        <v>91</v>
      </c>
      <c r="G40" t="str">
        <f t="shared" si="4"/>
        <v>54297.5015</v>
      </c>
      <c r="H40" s="24">
        <f t="shared" si="5"/>
        <v>2201.5</v>
      </c>
      <c r="I40" s="64" t="s">
        <v>216</v>
      </c>
      <c r="J40" s="65" t="s">
        <v>217</v>
      </c>
      <c r="K40" s="64" t="s">
        <v>218</v>
      </c>
      <c r="L40" s="64" t="s">
        <v>123</v>
      </c>
      <c r="M40" s="65" t="s">
        <v>117</v>
      </c>
      <c r="N40" s="65" t="s">
        <v>91</v>
      </c>
      <c r="O40" s="66" t="s">
        <v>205</v>
      </c>
      <c r="P40" s="67" t="s">
        <v>206</v>
      </c>
    </row>
    <row r="41" spans="1:16" ht="12.75" customHeight="1">
      <c r="A41" s="24" t="str">
        <f t="shared" si="0"/>
        <v>IBVS 6007 </v>
      </c>
      <c r="B41" s="17" t="str">
        <f t="shared" si="1"/>
        <v>I</v>
      </c>
      <c r="C41" s="24">
        <f t="shared" si="2"/>
        <v>54384.449460000003</v>
      </c>
      <c r="D41" t="str">
        <f t="shared" si="3"/>
        <v>vis</v>
      </c>
      <c r="E41">
        <f>VLOOKUP(C41,'Active 1'!C$21:E$968,3,FALSE)</f>
        <v>7626.1686412276622</v>
      </c>
      <c r="F41" s="17" t="s">
        <v>91</v>
      </c>
      <c r="G41" t="str">
        <f t="shared" si="4"/>
        <v>54384.44946</v>
      </c>
      <c r="H41" s="24">
        <f t="shared" si="5"/>
        <v>2308</v>
      </c>
      <c r="I41" s="64" t="s">
        <v>219</v>
      </c>
      <c r="J41" s="65" t="s">
        <v>220</v>
      </c>
      <c r="K41" s="64" t="s">
        <v>221</v>
      </c>
      <c r="L41" s="64" t="s">
        <v>222</v>
      </c>
      <c r="M41" s="65" t="s">
        <v>117</v>
      </c>
      <c r="N41" s="65" t="s">
        <v>132</v>
      </c>
      <c r="O41" s="66" t="s">
        <v>223</v>
      </c>
      <c r="P41" s="67" t="s">
        <v>224</v>
      </c>
    </row>
    <row r="42" spans="1:16" ht="12.75" customHeight="1">
      <c r="A42" s="24" t="str">
        <f t="shared" si="0"/>
        <v>IBVS 5920 </v>
      </c>
      <c r="B42" s="17" t="str">
        <f t="shared" si="1"/>
        <v>I</v>
      </c>
      <c r="C42" s="24">
        <f t="shared" si="2"/>
        <v>55121.6584</v>
      </c>
      <c r="D42" t="str">
        <f t="shared" si="3"/>
        <v>vis</v>
      </c>
      <c r="E42">
        <f>VLOOKUP(C42,'Active 1'!C$21:E$968,3,FALSE)</f>
        <v>8529.1860203041706</v>
      </c>
      <c r="F42" s="17" t="s">
        <v>91</v>
      </c>
      <c r="G42" t="str">
        <f t="shared" si="4"/>
        <v>55121.6584</v>
      </c>
      <c r="H42" s="24">
        <f t="shared" si="5"/>
        <v>3211</v>
      </c>
      <c r="I42" s="64" t="s">
        <v>225</v>
      </c>
      <c r="J42" s="65" t="s">
        <v>226</v>
      </c>
      <c r="K42" s="64" t="s">
        <v>227</v>
      </c>
      <c r="L42" s="64" t="s">
        <v>178</v>
      </c>
      <c r="M42" s="65" t="s">
        <v>117</v>
      </c>
      <c r="N42" s="65" t="s">
        <v>91</v>
      </c>
      <c r="O42" s="66" t="s">
        <v>228</v>
      </c>
      <c r="P42" s="67" t="s">
        <v>229</v>
      </c>
    </row>
    <row r="43" spans="1:16" ht="12.75" customHeight="1">
      <c r="A43" s="24" t="str">
        <f t="shared" ref="A43:A63" si="6">P43</f>
        <v> JAAVSO 38;120 </v>
      </c>
      <c r="B43" s="17" t="str">
        <f t="shared" ref="B43:B63" si="7">IF(H43=INT(H43),"I","II")</f>
        <v>II</v>
      </c>
      <c r="C43" s="24">
        <f t="shared" ref="C43:C63" si="8">1*G43</f>
        <v>55146.558400000002</v>
      </c>
      <c r="D43" t="str">
        <f t="shared" ref="D43:D63" si="9">VLOOKUP(F43,I$1:J$5,2,FALSE)</f>
        <v>vis</v>
      </c>
      <c r="E43">
        <f>VLOOKUP(C43,'Active 1'!C$21:E$968,3,FALSE)</f>
        <v>8559.6863730793375</v>
      </c>
      <c r="F43" s="17" t="s">
        <v>91</v>
      </c>
      <c r="G43" t="str">
        <f t="shared" ref="G43:G63" si="10">MID(I43,3,LEN(I43)-3)</f>
        <v>55146.5584</v>
      </c>
      <c r="H43" s="24">
        <f t="shared" ref="H43:H63" si="11">1*K43</f>
        <v>3241.5</v>
      </c>
      <c r="I43" s="64" t="s">
        <v>230</v>
      </c>
      <c r="J43" s="65" t="s">
        <v>231</v>
      </c>
      <c r="K43" s="64" t="s">
        <v>232</v>
      </c>
      <c r="L43" s="64" t="s">
        <v>157</v>
      </c>
      <c r="M43" s="65" t="s">
        <v>117</v>
      </c>
      <c r="N43" s="65" t="s">
        <v>233</v>
      </c>
      <c r="O43" s="66" t="s">
        <v>138</v>
      </c>
      <c r="P43" s="66" t="s">
        <v>234</v>
      </c>
    </row>
    <row r="44" spans="1:16" ht="12.75" customHeight="1">
      <c r="A44" s="24" t="str">
        <f t="shared" si="6"/>
        <v>BAVM 215 </v>
      </c>
      <c r="B44" s="17" t="str">
        <f t="shared" si="7"/>
        <v>II</v>
      </c>
      <c r="C44" s="24">
        <f t="shared" si="8"/>
        <v>55481.284200000002</v>
      </c>
      <c r="D44" t="str">
        <f t="shared" si="9"/>
        <v>vis</v>
      </c>
      <c r="E44">
        <f>VLOOKUP(C44,'Active 1'!C$21:E$968,3,FALSE)</f>
        <v>8969.6966133584228</v>
      </c>
      <c r="F44" s="17" t="s">
        <v>91</v>
      </c>
      <c r="G44" t="str">
        <f t="shared" si="10"/>
        <v>55481.2842</v>
      </c>
      <c r="H44" s="24">
        <f t="shared" si="11"/>
        <v>3651.5</v>
      </c>
      <c r="I44" s="64" t="s">
        <v>235</v>
      </c>
      <c r="J44" s="65" t="s">
        <v>236</v>
      </c>
      <c r="K44" s="64" t="s">
        <v>237</v>
      </c>
      <c r="L44" s="64" t="s">
        <v>116</v>
      </c>
      <c r="M44" s="65" t="s">
        <v>117</v>
      </c>
      <c r="N44" s="65">
        <v>0</v>
      </c>
      <c r="O44" s="66" t="s">
        <v>124</v>
      </c>
      <c r="P44" s="67" t="s">
        <v>238</v>
      </c>
    </row>
    <row r="45" spans="1:16" ht="12.75" customHeight="1">
      <c r="A45" s="24" t="str">
        <f t="shared" si="6"/>
        <v>OEJV 0160 </v>
      </c>
      <c r="B45" s="17" t="str">
        <f t="shared" si="7"/>
        <v>I</v>
      </c>
      <c r="C45" s="24">
        <f t="shared" si="8"/>
        <v>55834.376609999999</v>
      </c>
      <c r="D45" t="str">
        <f t="shared" si="9"/>
        <v>vis</v>
      </c>
      <c r="E45">
        <f>VLOOKUP(C45,'Active 1'!C$21:E$968,3,FALSE)</f>
        <v>9402.204367062559</v>
      </c>
      <c r="F45" s="17" t="s">
        <v>91</v>
      </c>
      <c r="G45" t="str">
        <f t="shared" si="10"/>
        <v>55834.37661</v>
      </c>
      <c r="H45" s="24">
        <f t="shared" si="11"/>
        <v>4084</v>
      </c>
      <c r="I45" s="64" t="s">
        <v>239</v>
      </c>
      <c r="J45" s="65" t="s">
        <v>240</v>
      </c>
      <c r="K45" s="64">
        <v>4084</v>
      </c>
      <c r="L45" s="64" t="s">
        <v>241</v>
      </c>
      <c r="M45" s="65" t="s">
        <v>117</v>
      </c>
      <c r="N45" s="65" t="s">
        <v>43</v>
      </c>
      <c r="O45" s="66" t="s">
        <v>191</v>
      </c>
      <c r="P45" s="67" t="s">
        <v>242</v>
      </c>
    </row>
    <row r="46" spans="1:16" ht="12.75" customHeight="1">
      <c r="A46" s="24" t="str">
        <f t="shared" si="6"/>
        <v>OEJV 0160 </v>
      </c>
      <c r="B46" s="17" t="str">
        <f t="shared" si="7"/>
        <v>I</v>
      </c>
      <c r="C46" s="24">
        <f t="shared" si="8"/>
        <v>55834.377509999998</v>
      </c>
      <c r="D46" t="str">
        <f t="shared" si="9"/>
        <v>vis</v>
      </c>
      <c r="E46">
        <f>VLOOKUP(C46,'Active 1'!C$21:E$968,3,FALSE)</f>
        <v>9402.2054694849467</v>
      </c>
      <c r="F46" s="17" t="s">
        <v>91</v>
      </c>
      <c r="G46" t="str">
        <f t="shared" si="10"/>
        <v>55834.37751</v>
      </c>
      <c r="H46" s="24">
        <f t="shared" si="11"/>
        <v>4084</v>
      </c>
      <c r="I46" s="64" t="s">
        <v>243</v>
      </c>
      <c r="J46" s="65" t="s">
        <v>244</v>
      </c>
      <c r="K46" s="64">
        <v>4084</v>
      </c>
      <c r="L46" s="64" t="s">
        <v>245</v>
      </c>
      <c r="M46" s="65" t="s">
        <v>117</v>
      </c>
      <c r="N46" s="65" t="s">
        <v>91</v>
      </c>
      <c r="O46" s="66" t="s">
        <v>191</v>
      </c>
      <c r="P46" s="67" t="s">
        <v>242</v>
      </c>
    </row>
    <row r="47" spans="1:16" ht="12.75" customHeight="1">
      <c r="A47" s="24" t="str">
        <f t="shared" si="6"/>
        <v>OEJV 0160 </v>
      </c>
      <c r="B47" s="17" t="str">
        <f t="shared" si="7"/>
        <v>I</v>
      </c>
      <c r="C47" s="24">
        <f t="shared" si="8"/>
        <v>55834.377710000001</v>
      </c>
      <c r="D47" t="str">
        <f t="shared" si="9"/>
        <v>vis</v>
      </c>
      <c r="E47">
        <f>VLOOKUP(C47,'Active 1'!C$21:E$968,3,FALSE)</f>
        <v>9402.2057144677019</v>
      </c>
      <c r="F47" s="17" t="s">
        <v>91</v>
      </c>
      <c r="G47" t="str">
        <f t="shared" si="10"/>
        <v>55834.37771</v>
      </c>
      <c r="H47" s="24">
        <f t="shared" si="11"/>
        <v>4084</v>
      </c>
      <c r="I47" s="64" t="s">
        <v>246</v>
      </c>
      <c r="J47" s="65" t="s">
        <v>244</v>
      </c>
      <c r="K47" s="64">
        <v>4084</v>
      </c>
      <c r="L47" s="64" t="s">
        <v>247</v>
      </c>
      <c r="M47" s="65" t="s">
        <v>117</v>
      </c>
      <c r="N47" s="65" t="s">
        <v>132</v>
      </c>
      <c r="O47" s="66" t="s">
        <v>191</v>
      </c>
      <c r="P47" s="67" t="s">
        <v>242</v>
      </c>
    </row>
    <row r="48" spans="1:16" ht="12.75" customHeight="1">
      <c r="A48" s="24" t="str">
        <f t="shared" si="6"/>
        <v>IBVS 6011 </v>
      </c>
      <c r="B48" s="17" t="str">
        <f t="shared" si="7"/>
        <v>I</v>
      </c>
      <c r="C48" s="24">
        <f t="shared" si="8"/>
        <v>55850.707000000002</v>
      </c>
      <c r="D48" t="str">
        <f t="shared" si="9"/>
        <v>vis</v>
      </c>
      <c r="E48">
        <f>VLOOKUP(C48,'Active 1'!C$21:E$968,3,FALSE)</f>
        <v>9422.2076865788677</v>
      </c>
      <c r="F48" s="17" t="s">
        <v>91</v>
      </c>
      <c r="G48" t="str">
        <f t="shared" si="10"/>
        <v>55850.7070</v>
      </c>
      <c r="H48" s="24">
        <f t="shared" si="11"/>
        <v>4104</v>
      </c>
      <c r="I48" s="64" t="s">
        <v>248</v>
      </c>
      <c r="J48" s="65" t="s">
        <v>249</v>
      </c>
      <c r="K48" s="64">
        <v>4104</v>
      </c>
      <c r="L48" s="64" t="s">
        <v>141</v>
      </c>
      <c r="M48" s="65" t="s">
        <v>117</v>
      </c>
      <c r="N48" s="65" t="s">
        <v>91</v>
      </c>
      <c r="O48" s="66" t="s">
        <v>228</v>
      </c>
      <c r="P48" s="67" t="s">
        <v>250</v>
      </c>
    </row>
    <row r="49" spans="1:16" ht="12.75" customHeight="1">
      <c r="A49" s="24" t="str">
        <f t="shared" si="6"/>
        <v>BAVM 225 </v>
      </c>
      <c r="B49" s="17" t="str">
        <f t="shared" si="7"/>
        <v>I</v>
      </c>
      <c r="C49" s="24">
        <f t="shared" si="8"/>
        <v>55879.2817</v>
      </c>
      <c r="D49" t="str">
        <f t="shared" si="9"/>
        <v>vis</v>
      </c>
      <c r="E49">
        <f>VLOOKUP(C49,'Active 1'!C$21:E$968,3,FALSE)</f>
        <v>9457.209229970209</v>
      </c>
      <c r="F49" s="17" t="s">
        <v>91</v>
      </c>
      <c r="G49" t="str">
        <f t="shared" si="10"/>
        <v>55879.2817</v>
      </c>
      <c r="H49" s="24">
        <f t="shared" si="11"/>
        <v>4139</v>
      </c>
      <c r="I49" s="64" t="s">
        <v>251</v>
      </c>
      <c r="J49" s="65" t="s">
        <v>252</v>
      </c>
      <c r="K49" s="64">
        <v>4139</v>
      </c>
      <c r="L49" s="64" t="s">
        <v>253</v>
      </c>
      <c r="M49" s="65" t="s">
        <v>117</v>
      </c>
      <c r="N49" s="65" t="s">
        <v>181</v>
      </c>
      <c r="O49" s="66" t="s">
        <v>254</v>
      </c>
      <c r="P49" s="67" t="s">
        <v>72</v>
      </c>
    </row>
    <row r="50" spans="1:16" ht="12.75" customHeight="1">
      <c r="A50" s="24" t="str">
        <f t="shared" si="6"/>
        <v>BAVM 239 </v>
      </c>
      <c r="B50" s="17" t="str">
        <f t="shared" si="7"/>
        <v>I</v>
      </c>
      <c r="C50" s="24">
        <f t="shared" si="8"/>
        <v>55879.2817</v>
      </c>
      <c r="D50" t="str">
        <f t="shared" si="9"/>
        <v>vis</v>
      </c>
      <c r="E50">
        <f>VLOOKUP(C50,'Active 1'!C$21:E$968,3,FALSE)</f>
        <v>9457.209229970209</v>
      </c>
      <c r="F50" s="17" t="s">
        <v>91</v>
      </c>
      <c r="G50" t="str">
        <f t="shared" si="10"/>
        <v>55879.2817</v>
      </c>
      <c r="H50" s="24">
        <f t="shared" si="11"/>
        <v>4139</v>
      </c>
      <c r="I50" s="64" t="s">
        <v>251</v>
      </c>
      <c r="J50" s="65" t="s">
        <v>252</v>
      </c>
      <c r="K50" s="64">
        <v>4139</v>
      </c>
      <c r="L50" s="64" t="s">
        <v>253</v>
      </c>
      <c r="M50" s="65" t="s">
        <v>117</v>
      </c>
      <c r="N50" s="65" t="s">
        <v>181</v>
      </c>
      <c r="O50" s="66" t="s">
        <v>254</v>
      </c>
      <c r="P50" s="67" t="s">
        <v>255</v>
      </c>
    </row>
    <row r="51" spans="1:16" ht="12.75" customHeight="1">
      <c r="A51" s="24" t="str">
        <f t="shared" si="6"/>
        <v>OEJV 0160 </v>
      </c>
      <c r="B51" s="17" t="str">
        <f t="shared" si="7"/>
        <v>I</v>
      </c>
      <c r="C51" s="24">
        <f t="shared" si="8"/>
        <v>55879.284449999999</v>
      </c>
      <c r="D51" t="str">
        <f t="shared" si="9"/>
        <v>vis</v>
      </c>
      <c r="E51">
        <f>VLOOKUP(C51,'Active 1'!C$21:E$968,3,FALSE)</f>
        <v>9457.2125984830654</v>
      </c>
      <c r="F51" s="17" t="s">
        <v>91</v>
      </c>
      <c r="G51" t="str">
        <f t="shared" si="10"/>
        <v>55879.28445</v>
      </c>
      <c r="H51" s="24">
        <f t="shared" si="11"/>
        <v>4139</v>
      </c>
      <c r="I51" s="64" t="s">
        <v>256</v>
      </c>
      <c r="J51" s="65" t="s">
        <v>257</v>
      </c>
      <c r="K51" s="64">
        <v>4139</v>
      </c>
      <c r="L51" s="64" t="s">
        <v>258</v>
      </c>
      <c r="M51" s="65" t="s">
        <v>117</v>
      </c>
      <c r="N51" s="65" t="s">
        <v>91</v>
      </c>
      <c r="O51" s="66" t="s">
        <v>259</v>
      </c>
      <c r="P51" s="67" t="s">
        <v>242</v>
      </c>
    </row>
    <row r="52" spans="1:16" ht="12.75" customHeight="1">
      <c r="A52" s="24" t="str">
        <f t="shared" si="6"/>
        <v>IBVS 6042 </v>
      </c>
      <c r="B52" s="17" t="str">
        <f t="shared" si="7"/>
        <v>I</v>
      </c>
      <c r="C52" s="24">
        <f t="shared" si="8"/>
        <v>56219.718699999998</v>
      </c>
      <c r="D52" t="str">
        <f t="shared" si="9"/>
        <v>vis</v>
      </c>
      <c r="E52">
        <f>VLOOKUP(C52,'Active 1'!C$21:E$968,3,FALSE)</f>
        <v>9874.2151977500762</v>
      </c>
      <c r="F52" s="17" t="s">
        <v>91</v>
      </c>
      <c r="G52" t="str">
        <f t="shared" si="10"/>
        <v>56219.7187</v>
      </c>
      <c r="H52" s="24">
        <f t="shared" si="11"/>
        <v>4556</v>
      </c>
      <c r="I52" s="64" t="s">
        <v>260</v>
      </c>
      <c r="J52" s="65" t="s">
        <v>261</v>
      </c>
      <c r="K52" s="64">
        <v>4556</v>
      </c>
      <c r="L52" s="64" t="s">
        <v>175</v>
      </c>
      <c r="M52" s="65" t="s">
        <v>117</v>
      </c>
      <c r="N52" s="65" t="s">
        <v>91</v>
      </c>
      <c r="O52" s="66" t="s">
        <v>228</v>
      </c>
      <c r="P52" s="67" t="s">
        <v>262</v>
      </c>
    </row>
    <row r="53" spans="1:16" ht="12.75" customHeight="1">
      <c r="A53" s="24" t="str">
        <f t="shared" si="6"/>
        <v>OEJV 0160 </v>
      </c>
      <c r="B53" s="17" t="str">
        <f t="shared" si="7"/>
        <v>I</v>
      </c>
      <c r="C53" s="24">
        <f t="shared" si="8"/>
        <v>56541.38276</v>
      </c>
      <c r="D53" t="str">
        <f t="shared" si="9"/>
        <v>vis</v>
      </c>
      <c r="E53">
        <f>VLOOKUP(C53,'Active 1'!C$21:E$968,3,FALSE)</f>
        <v>10268.225932894326</v>
      </c>
      <c r="F53" s="17" t="s">
        <v>91</v>
      </c>
      <c r="G53" t="str">
        <f t="shared" si="10"/>
        <v>56541.38276</v>
      </c>
      <c r="H53" s="24">
        <f t="shared" si="11"/>
        <v>4950</v>
      </c>
      <c r="I53" s="64" t="s">
        <v>263</v>
      </c>
      <c r="J53" s="65" t="s">
        <v>264</v>
      </c>
      <c r="K53" s="64">
        <v>4950</v>
      </c>
      <c r="L53" s="64" t="s">
        <v>265</v>
      </c>
      <c r="M53" s="65" t="s">
        <v>117</v>
      </c>
      <c r="N53" s="65" t="s">
        <v>91</v>
      </c>
      <c r="O53" s="66" t="s">
        <v>191</v>
      </c>
      <c r="P53" s="67" t="s">
        <v>242</v>
      </c>
    </row>
    <row r="54" spans="1:16" ht="12.75" customHeight="1">
      <c r="A54" s="24" t="str">
        <f t="shared" si="6"/>
        <v>OEJV 0160 </v>
      </c>
      <c r="B54" s="17" t="str">
        <f t="shared" si="7"/>
        <v>I</v>
      </c>
      <c r="C54" s="24">
        <f t="shared" si="8"/>
        <v>56541.383229999999</v>
      </c>
      <c r="D54" t="str">
        <f t="shared" si="9"/>
        <v>vis</v>
      </c>
      <c r="E54">
        <f>VLOOKUP(C54,'Active 1'!C$21:E$968,3,FALSE)</f>
        <v>10268.226508603793</v>
      </c>
      <c r="F54" s="17" t="s">
        <v>91</v>
      </c>
      <c r="G54" t="str">
        <f t="shared" si="10"/>
        <v>56541.38323</v>
      </c>
      <c r="H54" s="24">
        <f t="shared" si="11"/>
        <v>4950</v>
      </c>
      <c r="I54" s="64" t="s">
        <v>266</v>
      </c>
      <c r="J54" s="65" t="s">
        <v>264</v>
      </c>
      <c r="K54" s="64">
        <v>4950</v>
      </c>
      <c r="L54" s="64" t="s">
        <v>267</v>
      </c>
      <c r="M54" s="65" t="s">
        <v>117</v>
      </c>
      <c r="N54" s="65" t="s">
        <v>132</v>
      </c>
      <c r="O54" s="66" t="s">
        <v>191</v>
      </c>
      <c r="P54" s="67" t="s">
        <v>242</v>
      </c>
    </row>
    <row r="55" spans="1:16" ht="12.75" customHeight="1">
      <c r="A55" s="24" t="str">
        <f t="shared" si="6"/>
        <v>OEJV 0160 </v>
      </c>
      <c r="B55" s="17" t="str">
        <f t="shared" si="7"/>
        <v>I</v>
      </c>
      <c r="C55" s="24">
        <f t="shared" si="8"/>
        <v>56541.383439999998</v>
      </c>
      <c r="D55" t="str">
        <f t="shared" si="9"/>
        <v>vis</v>
      </c>
      <c r="E55">
        <f>VLOOKUP(C55,'Active 1'!C$21:E$968,3,FALSE)</f>
        <v>10268.226765835683</v>
      </c>
      <c r="F55" s="17" t="s">
        <v>91</v>
      </c>
      <c r="G55" t="str">
        <f t="shared" si="10"/>
        <v>56541.38344</v>
      </c>
      <c r="H55" s="24">
        <f t="shared" si="11"/>
        <v>4950</v>
      </c>
      <c r="I55" s="64" t="s">
        <v>268</v>
      </c>
      <c r="J55" s="65" t="s">
        <v>269</v>
      </c>
      <c r="K55" s="64">
        <v>4950</v>
      </c>
      <c r="L55" s="64" t="s">
        <v>270</v>
      </c>
      <c r="M55" s="65" t="s">
        <v>117</v>
      </c>
      <c r="N55" s="65" t="s">
        <v>47</v>
      </c>
      <c r="O55" s="66" t="s">
        <v>191</v>
      </c>
      <c r="P55" s="67" t="s">
        <v>242</v>
      </c>
    </row>
    <row r="56" spans="1:16" ht="12.75" customHeight="1">
      <c r="A56" s="24" t="str">
        <f t="shared" si="6"/>
        <v>VSB 40 </v>
      </c>
      <c r="B56" s="17" t="str">
        <f t="shared" si="7"/>
        <v>I</v>
      </c>
      <c r="C56" s="24">
        <f t="shared" si="8"/>
        <v>52561.249900000003</v>
      </c>
      <c r="D56" t="str">
        <f t="shared" si="9"/>
        <v>vis</v>
      </c>
      <c r="E56">
        <f>VLOOKUP(C56,'Active 1'!C$21:E$968,3,FALSE)</f>
        <v>5392.9064018893105</v>
      </c>
      <c r="F56" s="17" t="s">
        <v>91</v>
      </c>
      <c r="G56" t="str">
        <f t="shared" si="10"/>
        <v>52561.2499</v>
      </c>
      <c r="H56" s="24">
        <f t="shared" si="11"/>
        <v>75</v>
      </c>
      <c r="I56" s="64" t="s">
        <v>271</v>
      </c>
      <c r="J56" s="65" t="s">
        <v>272</v>
      </c>
      <c r="K56" s="64">
        <v>75</v>
      </c>
      <c r="L56" s="64" t="s">
        <v>273</v>
      </c>
      <c r="M56" s="65" t="s">
        <v>95</v>
      </c>
      <c r="N56" s="65" t="s">
        <v>96</v>
      </c>
      <c r="O56" s="66" t="s">
        <v>274</v>
      </c>
      <c r="P56" s="67" t="s">
        <v>52</v>
      </c>
    </row>
    <row r="57" spans="1:16" ht="12.75" customHeight="1">
      <c r="A57" s="24" t="str">
        <f t="shared" si="6"/>
        <v>IBVS 5741 </v>
      </c>
      <c r="B57" s="17" t="str">
        <f t="shared" si="7"/>
        <v>II</v>
      </c>
      <c r="C57" s="24">
        <f t="shared" si="8"/>
        <v>53360.272199999999</v>
      </c>
      <c r="D57" t="str">
        <f t="shared" si="9"/>
        <v>vis</v>
      </c>
      <c r="E57">
        <f>VLOOKUP(C57,'Active 1'!C$21:E$968,3,FALSE)</f>
        <v>6371.6398165569135</v>
      </c>
      <c r="F57" s="17" t="s">
        <v>91</v>
      </c>
      <c r="G57" t="str">
        <f t="shared" si="10"/>
        <v>53360.2722</v>
      </c>
      <c r="H57" s="24">
        <f t="shared" si="11"/>
        <v>1053.5</v>
      </c>
      <c r="I57" s="64" t="s">
        <v>275</v>
      </c>
      <c r="J57" s="65" t="s">
        <v>276</v>
      </c>
      <c r="K57" s="64">
        <v>1053.5</v>
      </c>
      <c r="L57" s="64" t="s">
        <v>200</v>
      </c>
      <c r="M57" s="65" t="s">
        <v>95</v>
      </c>
      <c r="N57" s="65" t="s">
        <v>96</v>
      </c>
      <c r="O57" s="66" t="s">
        <v>277</v>
      </c>
      <c r="P57" s="67" t="s">
        <v>278</v>
      </c>
    </row>
    <row r="58" spans="1:16" ht="12.75" customHeight="1">
      <c r="A58" s="24" t="str">
        <f t="shared" si="6"/>
        <v>OEJV 0137 </v>
      </c>
      <c r="B58" s="17" t="str">
        <f t="shared" si="7"/>
        <v>II</v>
      </c>
      <c r="C58" s="24">
        <f t="shared" si="8"/>
        <v>55000.423600000002</v>
      </c>
      <c r="D58" t="str">
        <f t="shared" si="9"/>
        <v>vis</v>
      </c>
      <c r="E58" t="e">
        <f>VLOOKUP(C58,'Active 1'!C$21:E$968,3,FALSE)</f>
        <v>#N/A</v>
      </c>
      <c r="F58" s="17" t="s">
        <v>91</v>
      </c>
      <c r="G58" t="str">
        <f t="shared" si="10"/>
        <v>55000.4236</v>
      </c>
      <c r="H58" s="24">
        <f t="shared" si="11"/>
        <v>3062.5</v>
      </c>
      <c r="I58" s="64" t="s">
        <v>279</v>
      </c>
      <c r="J58" s="65" t="s">
        <v>280</v>
      </c>
      <c r="K58" s="64" t="s">
        <v>281</v>
      </c>
      <c r="L58" s="64" t="s">
        <v>116</v>
      </c>
      <c r="M58" s="65" t="s">
        <v>117</v>
      </c>
      <c r="N58" s="65" t="s">
        <v>132</v>
      </c>
      <c r="O58" s="66" t="s">
        <v>191</v>
      </c>
      <c r="P58" s="67" t="s">
        <v>282</v>
      </c>
    </row>
    <row r="59" spans="1:16" ht="12.75" customHeight="1">
      <c r="A59" s="24" t="str">
        <f t="shared" si="6"/>
        <v>OEJV 0137 </v>
      </c>
      <c r="B59" s="17" t="str">
        <f t="shared" si="7"/>
        <v>II</v>
      </c>
      <c r="C59" s="24">
        <f t="shared" si="8"/>
        <v>55000.424200000001</v>
      </c>
      <c r="D59" t="str">
        <f t="shared" si="9"/>
        <v>vis</v>
      </c>
      <c r="E59" t="e">
        <f>VLOOKUP(C59,'Active 1'!C$21:E$968,3,FALSE)</f>
        <v>#N/A</v>
      </c>
      <c r="F59" s="17" t="s">
        <v>91</v>
      </c>
      <c r="G59" t="str">
        <f t="shared" si="10"/>
        <v>55000.4242</v>
      </c>
      <c r="H59" s="24">
        <f t="shared" si="11"/>
        <v>3062.5</v>
      </c>
      <c r="I59" s="64" t="s">
        <v>283</v>
      </c>
      <c r="J59" s="65" t="s">
        <v>284</v>
      </c>
      <c r="K59" s="64" t="s">
        <v>281</v>
      </c>
      <c r="L59" s="64" t="s">
        <v>285</v>
      </c>
      <c r="M59" s="65" t="s">
        <v>117</v>
      </c>
      <c r="N59" s="65" t="s">
        <v>91</v>
      </c>
      <c r="O59" s="66" t="s">
        <v>191</v>
      </c>
      <c r="P59" s="67" t="s">
        <v>282</v>
      </c>
    </row>
    <row r="60" spans="1:16" ht="12.75" customHeight="1">
      <c r="A60" s="24" t="str">
        <f t="shared" si="6"/>
        <v>OEJV 0137 </v>
      </c>
      <c r="B60" s="17" t="str">
        <f t="shared" si="7"/>
        <v>II</v>
      </c>
      <c r="C60" s="24">
        <f t="shared" si="8"/>
        <v>55000.425300000003</v>
      </c>
      <c r="D60" t="str">
        <f t="shared" si="9"/>
        <v>vis</v>
      </c>
      <c r="E60" t="e">
        <f>VLOOKUP(C60,'Active 1'!C$21:E$968,3,FALSE)</f>
        <v>#N/A</v>
      </c>
      <c r="F60" s="17" t="s">
        <v>91</v>
      </c>
      <c r="G60" t="str">
        <f t="shared" si="10"/>
        <v>55000.4253</v>
      </c>
      <c r="H60" s="24">
        <f t="shared" si="11"/>
        <v>3062.5</v>
      </c>
      <c r="I60" s="64" t="s">
        <v>286</v>
      </c>
      <c r="J60" s="65" t="s">
        <v>287</v>
      </c>
      <c r="K60" s="64" t="s">
        <v>281</v>
      </c>
      <c r="L60" s="64" t="s">
        <v>253</v>
      </c>
      <c r="M60" s="65" t="s">
        <v>117</v>
      </c>
      <c r="N60" s="65" t="s">
        <v>43</v>
      </c>
      <c r="O60" s="66" t="s">
        <v>191</v>
      </c>
      <c r="P60" s="67" t="s">
        <v>282</v>
      </c>
    </row>
    <row r="61" spans="1:16" ht="12.75" customHeight="1">
      <c r="A61" s="24" t="str">
        <f t="shared" si="6"/>
        <v>BAVM 225 </v>
      </c>
      <c r="B61" s="17" t="str">
        <f t="shared" si="7"/>
        <v>I</v>
      </c>
      <c r="C61" s="24">
        <f t="shared" si="8"/>
        <v>55857.2382</v>
      </c>
      <c r="D61" t="str">
        <f t="shared" si="9"/>
        <v>vis</v>
      </c>
      <c r="E61">
        <f>VLOOKUP(C61,'Active 1'!C$21:E$968,3,FALSE)</f>
        <v>9430.2078433678271</v>
      </c>
      <c r="F61" s="17" t="s">
        <v>91</v>
      </c>
      <c r="G61" t="str">
        <f t="shared" si="10"/>
        <v>55857.2382</v>
      </c>
      <c r="H61" s="24">
        <f t="shared" si="11"/>
        <v>4112</v>
      </c>
      <c r="I61" s="64" t="s">
        <v>288</v>
      </c>
      <c r="J61" s="65" t="s">
        <v>289</v>
      </c>
      <c r="K61" s="64">
        <v>4112</v>
      </c>
      <c r="L61" s="64" t="s">
        <v>141</v>
      </c>
      <c r="M61" s="65" t="s">
        <v>117</v>
      </c>
      <c r="N61" s="65" t="s">
        <v>181</v>
      </c>
      <c r="O61" s="66" t="s">
        <v>254</v>
      </c>
      <c r="P61" s="67" t="s">
        <v>72</v>
      </c>
    </row>
    <row r="62" spans="1:16" ht="12.75" customHeight="1">
      <c r="A62" s="24" t="str">
        <f t="shared" si="6"/>
        <v>VSB 55 </v>
      </c>
      <c r="B62" s="17" t="str">
        <f t="shared" si="7"/>
        <v>I</v>
      </c>
      <c r="C62" s="24">
        <f t="shared" si="8"/>
        <v>56160.1224</v>
      </c>
      <c r="D62" t="str">
        <f t="shared" si="9"/>
        <v>vis</v>
      </c>
      <c r="E62">
        <f>VLOOKUP(C62,'Active 1'!C$21:E$968,3,FALSE)</f>
        <v>9801.2148694731895</v>
      </c>
      <c r="F62" s="17" t="s">
        <v>91</v>
      </c>
      <c r="G62" t="str">
        <f t="shared" si="10"/>
        <v>56160.1224</v>
      </c>
      <c r="H62" s="24">
        <f t="shared" si="11"/>
        <v>4483</v>
      </c>
      <c r="I62" s="64" t="s">
        <v>290</v>
      </c>
      <c r="J62" s="65" t="s">
        <v>291</v>
      </c>
      <c r="K62" s="64">
        <v>4483</v>
      </c>
      <c r="L62" s="64" t="s">
        <v>292</v>
      </c>
      <c r="M62" s="65" t="s">
        <v>117</v>
      </c>
      <c r="N62" s="65" t="s">
        <v>293</v>
      </c>
      <c r="O62" s="66" t="s">
        <v>294</v>
      </c>
      <c r="P62" s="67" t="s">
        <v>74</v>
      </c>
    </row>
    <row r="63" spans="1:16" ht="12.75" customHeight="1">
      <c r="A63" s="24" t="str">
        <f t="shared" si="6"/>
        <v>VSB 55 </v>
      </c>
      <c r="B63" s="17" t="str">
        <f t="shared" si="7"/>
        <v>I</v>
      </c>
      <c r="C63" s="24">
        <f t="shared" si="8"/>
        <v>56213.053</v>
      </c>
      <c r="D63" t="str">
        <f t="shared" si="9"/>
        <v>vis</v>
      </c>
      <c r="E63">
        <f>VLOOKUP(C63,'Active 1'!C$21:E$968,3,FALSE)</f>
        <v>9866.0502900595802</v>
      </c>
      <c r="F63" s="17" t="s">
        <v>91</v>
      </c>
      <c r="G63" t="str">
        <f t="shared" si="10"/>
        <v>56213.0530</v>
      </c>
      <c r="H63" s="24">
        <f t="shared" si="11"/>
        <v>4548</v>
      </c>
      <c r="I63" s="64" t="s">
        <v>295</v>
      </c>
      <c r="J63" s="65" t="s">
        <v>296</v>
      </c>
      <c r="K63" s="64">
        <v>4548</v>
      </c>
      <c r="L63" s="64" t="s">
        <v>297</v>
      </c>
      <c r="M63" s="65" t="s">
        <v>117</v>
      </c>
      <c r="N63" s="65" t="s">
        <v>293</v>
      </c>
      <c r="O63" s="66" t="s">
        <v>294</v>
      </c>
      <c r="P63" s="67" t="s">
        <v>74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6" r:id="rId5" xr:uid="{00000000-0004-0000-0100-000004000000}"/>
    <hyperlink ref="P17" r:id="rId6" xr:uid="{00000000-0004-0000-0100-000005000000}"/>
    <hyperlink ref="P18" r:id="rId7" xr:uid="{00000000-0004-0000-0100-000006000000}"/>
    <hyperlink ref="P19" r:id="rId8" xr:uid="{00000000-0004-0000-0100-000007000000}"/>
    <hyperlink ref="P20" r:id="rId9" xr:uid="{00000000-0004-0000-0100-000008000000}"/>
    <hyperlink ref="P21" r:id="rId10" xr:uid="{00000000-0004-0000-0100-000009000000}"/>
    <hyperlink ref="P22" r:id="rId11" xr:uid="{00000000-0004-0000-0100-00000A000000}"/>
    <hyperlink ref="P23" r:id="rId12" xr:uid="{00000000-0004-0000-0100-00000B000000}"/>
    <hyperlink ref="P24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1" r:id="rId20" xr:uid="{00000000-0004-0000-0100-000013000000}"/>
    <hyperlink ref="P32" r:id="rId21" xr:uid="{00000000-0004-0000-0100-000014000000}"/>
    <hyperlink ref="P33" r:id="rId22" xr:uid="{00000000-0004-0000-0100-000015000000}"/>
    <hyperlink ref="P34" r:id="rId23" xr:uid="{00000000-0004-0000-0100-000016000000}"/>
    <hyperlink ref="P35" r:id="rId24" xr:uid="{00000000-0004-0000-0100-000017000000}"/>
    <hyperlink ref="P36" r:id="rId25" xr:uid="{00000000-0004-0000-0100-000018000000}"/>
    <hyperlink ref="P37" r:id="rId26" xr:uid="{00000000-0004-0000-0100-000019000000}"/>
    <hyperlink ref="P38" r:id="rId27" xr:uid="{00000000-0004-0000-0100-00001A000000}"/>
    <hyperlink ref="P39" r:id="rId28" xr:uid="{00000000-0004-0000-0100-00001B000000}"/>
    <hyperlink ref="P40" r:id="rId29" xr:uid="{00000000-0004-0000-0100-00001C000000}"/>
    <hyperlink ref="P41" r:id="rId30" xr:uid="{00000000-0004-0000-0100-00001D000000}"/>
    <hyperlink ref="P42" r:id="rId31" xr:uid="{00000000-0004-0000-0100-00001E000000}"/>
    <hyperlink ref="P44" r:id="rId32" xr:uid="{00000000-0004-0000-0100-00001F000000}"/>
    <hyperlink ref="P45" r:id="rId33" xr:uid="{00000000-0004-0000-0100-000020000000}"/>
    <hyperlink ref="P46" r:id="rId34" xr:uid="{00000000-0004-0000-0100-000021000000}"/>
    <hyperlink ref="P47" r:id="rId35" xr:uid="{00000000-0004-0000-0100-000022000000}"/>
    <hyperlink ref="P48" r:id="rId36" xr:uid="{00000000-0004-0000-0100-000023000000}"/>
    <hyperlink ref="P49" r:id="rId37" xr:uid="{00000000-0004-0000-0100-000024000000}"/>
    <hyperlink ref="P50" r:id="rId38" xr:uid="{00000000-0004-0000-0100-000025000000}"/>
    <hyperlink ref="P51" r:id="rId39" xr:uid="{00000000-0004-0000-0100-000026000000}"/>
    <hyperlink ref="P52" r:id="rId40" xr:uid="{00000000-0004-0000-0100-000027000000}"/>
    <hyperlink ref="P53" r:id="rId41" xr:uid="{00000000-0004-0000-0100-000028000000}"/>
    <hyperlink ref="P54" r:id="rId42" xr:uid="{00000000-0004-0000-0100-000029000000}"/>
    <hyperlink ref="P55" r:id="rId43" xr:uid="{00000000-0004-0000-0100-00002A000000}"/>
    <hyperlink ref="P56" r:id="rId44" xr:uid="{00000000-0004-0000-0100-00002B000000}"/>
    <hyperlink ref="P57" r:id="rId45" xr:uid="{00000000-0004-0000-0100-00002C000000}"/>
    <hyperlink ref="P58" r:id="rId46" xr:uid="{00000000-0004-0000-0100-00002D000000}"/>
    <hyperlink ref="P59" r:id="rId47" xr:uid="{00000000-0004-0000-0100-00002E000000}"/>
    <hyperlink ref="P60" r:id="rId48" xr:uid="{00000000-0004-0000-0100-00002F000000}"/>
    <hyperlink ref="P61" r:id="rId49" xr:uid="{00000000-0004-0000-0100-000030000000}"/>
    <hyperlink ref="P62" r:id="rId50" xr:uid="{00000000-0004-0000-0100-000031000000}"/>
    <hyperlink ref="P63" r:id="rId51" xr:uid="{00000000-0004-0000-0100-00003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6"/>
  <sheetViews>
    <sheetView workbookViewId="0">
      <selection activeCell="C34" sqref="C34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298</v>
      </c>
    </row>
    <row r="2" spans="1:4">
      <c r="A2" s="1" t="s">
        <v>1</v>
      </c>
    </row>
    <row r="4" spans="1:4">
      <c r="A4" s="4" t="s">
        <v>3</v>
      </c>
      <c r="C4" s="5" t="s">
        <v>4</v>
      </c>
      <c r="D4" s="6" t="s">
        <v>4</v>
      </c>
    </row>
    <row r="6" spans="1:4">
      <c r="A6" s="4" t="s">
        <v>7</v>
      </c>
    </row>
    <row r="7" spans="1:4">
      <c r="A7" s="1" t="s">
        <v>8</v>
      </c>
      <c r="C7" s="1">
        <v>52886.352200000001</v>
      </c>
      <c r="D7" s="9"/>
    </row>
    <row r="8" spans="1:4">
      <c r="A8" s="1" t="s">
        <v>10</v>
      </c>
      <c r="C8" s="1">
        <v>0.81640206588438313</v>
      </c>
      <c r="D8" s="10"/>
    </row>
    <row r="10" spans="1:4">
      <c r="C10" s="15" t="s">
        <v>12</v>
      </c>
      <c r="D10" s="15" t="s">
        <v>13</v>
      </c>
    </row>
    <row r="11" spans="1:4">
      <c r="A11" s="1" t="s">
        <v>14</v>
      </c>
      <c r="C11" s="1">
        <f>INTERCEPT(G21:G993,F21:F993)</f>
        <v>-9.6447634519902727E-4</v>
      </c>
      <c r="D11" s="17"/>
    </row>
    <row r="12" spans="1:4">
      <c r="A12" s="1" t="s">
        <v>15</v>
      </c>
      <c r="C12" s="1">
        <f>SLOPE(G21:G993,F21:F993)</f>
        <v>-1.1916594113596213E-16</v>
      </c>
      <c r="D12" s="17"/>
    </row>
    <row r="13" spans="1:4">
      <c r="A13" s="1" t="s">
        <v>16</v>
      </c>
      <c r="C13" s="17" t="s">
        <v>4</v>
      </c>
      <c r="D13" s="17"/>
    </row>
    <row r="14" spans="1:4">
      <c r="A14" s="1" t="s">
        <v>299</v>
      </c>
    </row>
    <row r="15" spans="1:4">
      <c r="A15" s="4" t="s">
        <v>17</v>
      </c>
      <c r="C15" s="68">
        <v>52886.352200000001</v>
      </c>
    </row>
    <row r="16" spans="1:4">
      <c r="A16" s="4" t="s">
        <v>19</v>
      </c>
      <c r="C16" s="1">
        <f>+C8+C12</f>
        <v>0.81640206588438302</v>
      </c>
    </row>
    <row r="18" spans="1:30">
      <c r="A18" s="4" t="s">
        <v>23</v>
      </c>
      <c r="C18" s="69">
        <f>+C15</f>
        <v>52886.352200000001</v>
      </c>
      <c r="D18" s="70">
        <f>+C16</f>
        <v>0.81640206588438302</v>
      </c>
    </row>
    <row r="20" spans="1:30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42</v>
      </c>
      <c r="I20" s="22" t="s">
        <v>300</v>
      </c>
      <c r="J20" s="22" t="s">
        <v>9</v>
      </c>
      <c r="K20" s="22" t="s">
        <v>301</v>
      </c>
      <c r="L20" s="22" t="s">
        <v>302</v>
      </c>
      <c r="M20" s="22" t="s">
        <v>36</v>
      </c>
      <c r="N20" s="22" t="s">
        <v>37</v>
      </c>
      <c r="O20" s="22" t="s">
        <v>38</v>
      </c>
      <c r="P20" s="22" t="s">
        <v>39</v>
      </c>
      <c r="Q20" s="15" t="s">
        <v>40</v>
      </c>
    </row>
    <row r="21" spans="1:30">
      <c r="A21" s="1" t="s">
        <v>42</v>
      </c>
      <c r="C21" s="1">
        <v>48158.5674</v>
      </c>
      <c r="D21" s="17" t="s">
        <v>4</v>
      </c>
      <c r="E21" s="1">
        <f t="shared" ref="E21:E26" si="0">+(C21-C$7)/C$8</f>
        <v>-5791.0005346183661</v>
      </c>
      <c r="F21" s="1">
        <f t="shared" ref="F21:F26" si="1">ROUND(2*E21,0)/2</f>
        <v>-5791</v>
      </c>
      <c r="G21" s="1">
        <f t="shared" ref="G21:G26" si="2">+C21-(C$7+F21*C$8)</f>
        <v>-4.3646353879012167E-4</v>
      </c>
      <c r="H21" s="1">
        <f>+G21</f>
        <v>-4.3646353879012167E-4</v>
      </c>
      <c r="O21" s="1">
        <f t="shared" ref="O21:O26" si="3">+C$11+C$12*F21</f>
        <v>-9.6447634450893736E-4</v>
      </c>
      <c r="Q21" s="25">
        <f t="shared" ref="Q21:Q26" si="4">+C21-15018.5</f>
        <v>33140.0674</v>
      </c>
    </row>
    <row r="22" spans="1:30">
      <c r="A22" s="1" t="s">
        <v>45</v>
      </c>
      <c r="B22" s="17" t="s">
        <v>44</v>
      </c>
      <c r="C22" s="71">
        <v>49250.504000000001</v>
      </c>
      <c r="D22" s="17"/>
      <c r="E22" s="1">
        <f t="shared" si="0"/>
        <v>-4453.501959308981</v>
      </c>
      <c r="F22" s="1">
        <f t="shared" si="1"/>
        <v>-4453.5</v>
      </c>
      <c r="G22" s="1">
        <f t="shared" si="2"/>
        <v>-1.5995838984963484E-3</v>
      </c>
      <c r="I22" s="1">
        <f>G22</f>
        <v>-1.5995838984963484E-3</v>
      </c>
      <c r="O22" s="1">
        <f t="shared" si="3"/>
        <v>-9.644763446683218E-4</v>
      </c>
      <c r="Q22" s="25">
        <f t="shared" si="4"/>
        <v>34232.004000000001</v>
      </c>
      <c r="AA22" s="1">
        <v>20</v>
      </c>
      <c r="AB22" s="1" t="s">
        <v>46</v>
      </c>
      <c r="AD22" s="1" t="s">
        <v>47</v>
      </c>
    </row>
    <row r="23" spans="1:30">
      <c r="A23" s="1" t="s">
        <v>48</v>
      </c>
      <c r="C23" s="1">
        <v>52240.577700000002</v>
      </c>
      <c r="D23" s="17"/>
      <c r="E23" s="1">
        <f t="shared" si="0"/>
        <v>-791.00057065687599</v>
      </c>
      <c r="F23" s="1">
        <f t="shared" si="1"/>
        <v>-791</v>
      </c>
      <c r="G23" s="1">
        <f t="shared" si="2"/>
        <v>-4.6588545228587463E-4</v>
      </c>
      <c r="K23" s="1">
        <f>G23</f>
        <v>-4.6588545228587463E-4</v>
      </c>
      <c r="O23" s="1">
        <f t="shared" si="3"/>
        <v>-9.6447634510476706E-4</v>
      </c>
      <c r="Q23" s="25">
        <f t="shared" si="4"/>
        <v>37222.077700000002</v>
      </c>
    </row>
    <row r="24" spans="1:30">
      <c r="A24" s="1" t="s">
        <v>50</v>
      </c>
      <c r="B24" s="24"/>
      <c r="C24" s="72">
        <v>52505.499799999998</v>
      </c>
      <c r="D24" s="72">
        <v>1.1999999999999999E-3</v>
      </c>
      <c r="E24" s="1">
        <f t="shared" si="0"/>
        <v>-466.50102432976792</v>
      </c>
      <c r="F24" s="1">
        <f t="shared" si="1"/>
        <v>-466.5</v>
      </c>
      <c r="G24" s="1">
        <f t="shared" si="2"/>
        <v>-8.3626493869815022E-4</v>
      </c>
      <c r="H24" s="73"/>
      <c r="I24" s="73"/>
      <c r="J24" s="17">
        <f>G24</f>
        <v>-8.3626493869815022E-4</v>
      </c>
      <c r="O24" s="1">
        <f t="shared" si="3"/>
        <v>-9.6447634514343632E-4</v>
      </c>
      <c r="Q24" s="25">
        <f t="shared" si="4"/>
        <v>37486.999799999998</v>
      </c>
    </row>
    <row r="25" spans="1:30">
      <c r="A25" s="1" t="s">
        <v>50</v>
      </c>
      <c r="B25" s="73"/>
      <c r="C25" s="72">
        <v>52510.3966</v>
      </c>
      <c r="D25" s="72">
        <v>1.8E-3</v>
      </c>
      <c r="E25" s="1">
        <f t="shared" si="0"/>
        <v>-460.50299933126706</v>
      </c>
      <c r="F25" s="1">
        <f t="shared" si="1"/>
        <v>-460.5</v>
      </c>
      <c r="G25" s="1">
        <f t="shared" si="2"/>
        <v>-2.4486602414981462E-3</v>
      </c>
      <c r="H25" s="73"/>
      <c r="I25" s="73"/>
      <c r="J25" s="17">
        <f>G25</f>
        <v>-2.4486602414981462E-3</v>
      </c>
      <c r="O25" s="1">
        <f t="shared" si="3"/>
        <v>-9.6447634514415135E-4</v>
      </c>
      <c r="Q25" s="25">
        <f t="shared" si="4"/>
        <v>37491.8966</v>
      </c>
    </row>
    <row r="26" spans="1:30">
      <c r="A26" s="1" t="s">
        <v>303</v>
      </c>
      <c r="C26" s="68">
        <v>52886.352200000001</v>
      </c>
      <c r="D26" s="74">
        <v>2.0000000000000001E-4</v>
      </c>
      <c r="E26" s="1">
        <f t="shared" si="0"/>
        <v>0</v>
      </c>
      <c r="F26" s="1">
        <f t="shared" si="1"/>
        <v>0</v>
      </c>
      <c r="G26" s="1">
        <f t="shared" si="2"/>
        <v>0</v>
      </c>
      <c r="K26" s="1">
        <f>G26</f>
        <v>0</v>
      </c>
      <c r="O26" s="1">
        <f t="shared" si="3"/>
        <v>-9.6447634519902727E-4</v>
      </c>
      <c r="Q26" s="25">
        <f t="shared" si="4"/>
        <v>37867.852200000001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2022-03-30T05:46:58Z</dcterms:created>
  <dcterms:modified xsi:type="dcterms:W3CDTF">2024-09-28T06:27:07Z</dcterms:modified>
</cp:coreProperties>
</file>