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CF74C2F-82B8-4099-AF83-EFFC6517F0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8" i="2" l="1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E38" i="1"/>
  <c r="F38" i="1"/>
  <c r="G38" i="1"/>
  <c r="I38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9" i="1"/>
  <c r="F39" i="1"/>
  <c r="G39" i="1"/>
  <c r="I39" i="1"/>
  <c r="F11" i="1"/>
  <c r="Q38" i="1"/>
  <c r="G11" i="1"/>
  <c r="Q39" i="1"/>
  <c r="F23" i="1"/>
  <c r="G23" i="1"/>
  <c r="I23" i="1"/>
  <c r="E24" i="1"/>
  <c r="F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E29" i="1"/>
  <c r="F29" i="1"/>
  <c r="G29" i="1"/>
  <c r="I29" i="1"/>
  <c r="E30" i="1"/>
  <c r="F30" i="1"/>
  <c r="G30" i="1"/>
  <c r="H30" i="1"/>
  <c r="E31" i="1"/>
  <c r="F31" i="1"/>
  <c r="G31" i="1"/>
  <c r="I31" i="1"/>
  <c r="E14" i="1"/>
  <c r="E15" i="1" s="1"/>
  <c r="C17" i="1"/>
  <c r="Q37" i="1"/>
  <c r="G28" i="1"/>
  <c r="E21" i="1"/>
  <c r="F21" i="1"/>
  <c r="G21" i="1"/>
  <c r="I21" i="1"/>
  <c r="E22" i="1"/>
  <c r="F22" i="1"/>
  <c r="G22" i="1"/>
  <c r="I22" i="1"/>
  <c r="E23" i="1"/>
  <c r="G24" i="1"/>
  <c r="I24" i="1"/>
  <c r="Q26" i="1"/>
  <c r="Q27" i="1"/>
  <c r="I28" i="1"/>
  <c r="Q28" i="1"/>
  <c r="Q29" i="1"/>
  <c r="Q31" i="1"/>
  <c r="Q21" i="1"/>
  <c r="Q22" i="1"/>
  <c r="Q23" i="1"/>
  <c r="Q24" i="1"/>
  <c r="Q25" i="1"/>
  <c r="Q32" i="1"/>
  <c r="Q33" i="1"/>
  <c r="Q34" i="1"/>
  <c r="Q35" i="1"/>
  <c r="Q36" i="1"/>
  <c r="Q30" i="1"/>
  <c r="C12" i="1"/>
  <c r="C16" i="1" l="1"/>
  <c r="D18" i="1" s="1"/>
  <c r="C11" i="1"/>
  <c r="O29" i="1" l="1"/>
  <c r="O34" i="1"/>
  <c r="O24" i="1"/>
  <c r="O38" i="1"/>
  <c r="O22" i="1"/>
  <c r="O23" i="1"/>
  <c r="O36" i="1"/>
  <c r="C15" i="1"/>
  <c r="O31" i="1"/>
  <c r="O30" i="1"/>
  <c r="O27" i="1"/>
  <c r="O33" i="1"/>
  <c r="O37" i="1"/>
  <c r="O21" i="1"/>
  <c r="O32" i="1"/>
  <c r="O39" i="1"/>
  <c r="O28" i="1"/>
  <c r="O26" i="1"/>
  <c r="O35" i="1"/>
  <c r="O25" i="1"/>
  <c r="C18" i="1" l="1"/>
  <c r="E16" i="1"/>
  <c r="E17" i="1" s="1"/>
</calcChain>
</file>

<file path=xl/sharedStrings.xml><?xml version="1.0" encoding="utf-8"?>
<sst xmlns="http://schemas.openxmlformats.org/spreadsheetml/2006/main" count="162" uniqueCount="106">
  <si>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</si>
  <si>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</si>
  <si>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</si>
  <si>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</si>
  <si>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</si>
  <si>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</si>
  <si>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</si>
  <si>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</si>
  <si>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</si>
  <si>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</si>
  <si>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</si>
  <si>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</si>
  <si>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</si>
  <si>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</si>
  <si>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</si>
  <si>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</si>
  <si>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</si>
  <si>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</si>
  <si>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</si>
  <si>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</si>
  <si>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</si>
  <si>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</si>
  <si>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</si>
  <si>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</si>
  <si>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</si>
  <si>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</si>
  <si>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</si>
  <si>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</si>
  <si>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not avail.</t>
  </si>
  <si>
    <t># of data points:</t>
  </si>
  <si>
    <t>ASAS</t>
  </si>
  <si>
    <t>EW</t>
  </si>
  <si>
    <t>IBVS 5657</t>
  </si>
  <si>
    <t>IBVS 5731</t>
  </si>
  <si>
    <t xml:space="preserve">MQ Peg / GSC 02229-00149 </t>
  </si>
  <si>
    <t>I</t>
  </si>
  <si>
    <t>II</t>
  </si>
  <si>
    <t>IBVS 5547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</si>
  <si>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</si>
  <si>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</si>
  <si>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</si>
  <si>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</si>
  <si>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</si>
  <si>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</si>
  <si>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</si>
  <si>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5802</t>
  </si>
  <si>
    <t>Add cycle</t>
  </si>
  <si>
    <t>Old Cycle</t>
  </si>
  <si>
    <t>IBVS 6011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</si>
  <si>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</si>
  <si>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</si>
  <si>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</si>
  <si>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</si>
  <si>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</si>
  <si>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</si>
  <si>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</si>
  <si>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</si>
  <si>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</si>
  <si>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</si>
  <si>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</si>
  <si>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</si>
  <si>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2453291.4865 </t>
  </si>
  <si>
    <t> 12.10.2004 23:40 </t>
  </si>
  <si>
    <t> 0.0019 </t>
  </si>
  <si>
    <t>E </t>
  </si>
  <si>
    <t>-I</t>
  </si>
  <si>
    <t> F.Agerer </t>
  </si>
  <si>
    <t>BAVM 173 </t>
  </si>
  <si>
    <t>2453651.3333 </t>
  </si>
  <si>
    <t> 07.10.2005 19:59 </t>
  </si>
  <si>
    <t>3034.5</t>
  </si>
  <si>
    <t> -0.0014 </t>
  </si>
  <si>
    <t>C </t>
  </si>
  <si>
    <t> K.&amp; M.Rätz </t>
  </si>
  <si>
    <t>BAVM 178 </t>
  </si>
  <si>
    <t>2453683.3916 </t>
  </si>
  <si>
    <t> 08.11.2005 21:23 </t>
  </si>
  <si>
    <t>3119</t>
  </si>
  <si>
    <t> P.Frank </t>
  </si>
  <si>
    <t>2453716.4029 </t>
  </si>
  <si>
    <t> 11.12.2005 21:40 </t>
  </si>
  <si>
    <t>3206</t>
  </si>
  <si>
    <t> 0.0030 </t>
  </si>
  <si>
    <t>o</t>
  </si>
  <si>
    <t>2453717.3523 </t>
  </si>
  <si>
    <t> 12.12.2005 20:27 </t>
  </si>
  <si>
    <t>3208.5</t>
  </si>
  <si>
    <t> 0.0040 </t>
  </si>
  <si>
    <t>2453938.5321 </t>
  </si>
  <si>
    <t> 22.07.2006 00:46 </t>
  </si>
  <si>
    <t>3791.5</t>
  </si>
  <si>
    <t> 0.0002 </t>
  </si>
  <si>
    <t>BAVM 186 </t>
  </si>
  <si>
    <t>2455800.37984 </t>
  </si>
  <si>
    <t> 26.08.2011 21:06 </t>
  </si>
  <si>
    <t>8699</t>
  </si>
  <si>
    <t> -0.00159 </t>
  </si>
  <si>
    <t> V.P?ibik </t>
  </si>
  <si>
    <t>OEJV 0160 </t>
  </si>
  <si>
    <t>2455867.7211 </t>
  </si>
  <si>
    <t> 02.11.2011 05:18 </t>
  </si>
  <si>
    <t>8876.5</t>
  </si>
  <si>
    <t> -0.0018 </t>
  </si>
  <si>
    <t> R.Diethelm </t>
  </si>
  <si>
    <t>IBVS 6011 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</si>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</sst>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3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MQ Peg - O-C Diagr.</a:t>
            </a:r>
          </a:p>
        </c:rich>
      </c:tx>
      <c:layout>
        <c:manualLayout>
          <c:xMode val="edge"/>
          <c:yMode val="edge"/>
          <c:x val="0.3747984006038017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206791611021755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79-4624-9896-6C8D5801DD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3.9766199850419071E-2</c:v>
                </c:pt>
                <c:pt idx="1">
                  <c:v>2.3118900069675874E-2</c:v>
                </c:pt>
                <c:pt idx="2">
                  <c:v>2.8601600126421545E-2</c:v>
                </c:pt>
                <c:pt idx="3">
                  <c:v>4.4049700140021741E-2</c:v>
                </c:pt>
                <c:pt idx="4">
                  <c:v>2.5161499870591797E-2</c:v>
                </c:pt>
                <c:pt idx="5">
                  <c:v>4.1537499775586184E-2</c:v>
                </c:pt>
                <c:pt idx="6">
                  <c:v>-2.152330015815096E-2</c:v>
                </c:pt>
                <c:pt idx="7">
                  <c:v>1.7020200037222821E-2</c:v>
                </c:pt>
                <c:pt idx="8">
                  <c:v>-2.580949983530445E-2</c:v>
                </c:pt>
                <c:pt idx="10">
                  <c:v>7.9017500109330285E-2</c:v>
                </c:pt>
                <c:pt idx="11">
                  <c:v>7.8697999924770556E-3</c:v>
                </c:pt>
                <c:pt idx="12">
                  <c:v>1.0273699997924268E-2</c:v>
                </c:pt>
                <c:pt idx="13">
                  <c:v>1.0743999999249354E-2</c:v>
                </c:pt>
                <c:pt idx="14">
                  <c:v>1.5757799999846611E-2</c:v>
                </c:pt>
                <c:pt idx="15">
                  <c:v>1.6701299995474983E-2</c:v>
                </c:pt>
                <c:pt idx="16">
                  <c:v>1.6445499990368262E-2</c:v>
                </c:pt>
                <c:pt idx="17">
                  <c:v>4.4075999998312909E-2</c:v>
                </c:pt>
                <c:pt idx="18">
                  <c:v>4.4924499998160172E-2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79-4624-9896-6C8D5801DD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79-4624-9896-6C8D5801DD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79-4624-9896-6C8D5801DD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79-4624-9896-6C8D5801DD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79-4624-9896-6C8D5801DD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79-4624-9896-6C8D5801DD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-7.7547844360872586E-2</c:v>
                </c:pt>
                <c:pt idx="1">
                  <c:v>-7.7213979809230698E-2</c:v>
                </c:pt>
                <c:pt idx="2">
                  <c:v>-7.7156036374648213E-2</c:v>
                </c:pt>
                <c:pt idx="3">
                  <c:v>-7.6982206070900783E-2</c:v>
                </c:pt>
                <c:pt idx="4">
                  <c:v>-7.2252918124502477E-2</c:v>
                </c:pt>
                <c:pt idx="5">
                  <c:v>8.1099367282961199E-4</c:v>
                </c:pt>
                <c:pt idx="6">
                  <c:v>8.5514105155911789E-4</c:v>
                </c:pt>
                <c:pt idx="7">
                  <c:v>8.689371074120883E-4</c:v>
                </c:pt>
                <c:pt idx="8">
                  <c:v>1.3352437952424932E-3</c:v>
                </c:pt>
                <c:pt idx="9">
                  <c:v>1.8456978618024041E-3</c:v>
                </c:pt>
                <c:pt idx="10">
                  <c:v>1.9146781410672568E-3</c:v>
                </c:pt>
                <c:pt idx="11">
                  <c:v>7.5131176062027101E-3</c:v>
                </c:pt>
                <c:pt idx="12">
                  <c:v>1.2747341196819742E-2</c:v>
                </c:pt>
                <c:pt idx="13">
                  <c:v>1.3213647884650147E-2</c:v>
                </c:pt>
                <c:pt idx="14">
                  <c:v>1.3693750628333522E-2</c:v>
                </c:pt>
                <c:pt idx="15">
                  <c:v>1.3707546684186491E-2</c:v>
                </c:pt>
                <c:pt idx="16">
                  <c:v>1.6924786909099227E-2</c:v>
                </c:pt>
                <c:pt idx="17">
                  <c:v>4.4006444548480433E-2</c:v>
                </c:pt>
                <c:pt idx="18">
                  <c:v>4.4985964514041341E-2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79-4624-9896-6C8D5801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57392"/>
        <c:axId val="1"/>
      </c:scatterChart>
      <c:valAx>
        <c:axId val="7139573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957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09225361369409"/>
          <c:y val="0.9204921861831491"/>
          <c:w val="0.7318260338620838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MQ Peg - O-C Diagr.</a:t>
            </a:r>
          </a:p>
        </c:rich>
      </c:tx>
      <c:layout>
        <c:manualLayout>
          <c:xMode val="edge"/>
          <c:yMode val="edge"/>
          <c:x val="0.3741935483870967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64516129032257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99-4552-A075-C363C713C4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3.9766199850419071E-2</c:v>
                </c:pt>
                <c:pt idx="1">
                  <c:v>2.3118900069675874E-2</c:v>
                </c:pt>
                <c:pt idx="2">
                  <c:v>2.8601600126421545E-2</c:v>
                </c:pt>
                <c:pt idx="3">
                  <c:v>4.4049700140021741E-2</c:v>
                </c:pt>
                <c:pt idx="4">
                  <c:v>2.5161499870591797E-2</c:v>
                </c:pt>
                <c:pt idx="5">
                  <c:v>4.1537499775586184E-2</c:v>
                </c:pt>
                <c:pt idx="6">
                  <c:v>-2.152330015815096E-2</c:v>
                </c:pt>
                <c:pt idx="7">
                  <c:v>1.7020200037222821E-2</c:v>
                </c:pt>
                <c:pt idx="8">
                  <c:v>-2.580949983530445E-2</c:v>
                </c:pt>
                <c:pt idx="10">
                  <c:v>7.9017500109330285E-2</c:v>
                </c:pt>
                <c:pt idx="11">
                  <c:v>7.8697999924770556E-3</c:v>
                </c:pt>
                <c:pt idx="12">
                  <c:v>1.0273699997924268E-2</c:v>
                </c:pt>
                <c:pt idx="13">
                  <c:v>1.0743999999249354E-2</c:v>
                </c:pt>
                <c:pt idx="14">
                  <c:v>1.5757799999846611E-2</c:v>
                </c:pt>
                <c:pt idx="15">
                  <c:v>1.6701299995474983E-2</c:v>
                </c:pt>
                <c:pt idx="16">
                  <c:v>1.6445499990368262E-2</c:v>
                </c:pt>
                <c:pt idx="17">
                  <c:v>4.4075999998312909E-2</c:v>
                </c:pt>
                <c:pt idx="18">
                  <c:v>4.4924499998160172E-2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99-4552-A075-C363C713C4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99-4552-A075-C363C713C4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99-4552-A075-C363C713C4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99-4552-A075-C363C713C4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99-4552-A075-C363C713C4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0.02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1.2E-2</c:v>
                  </c:pt>
                  <c:pt idx="6">
                    <c:v>1.9E-2</c:v>
                  </c:pt>
                  <c:pt idx="7">
                    <c:v>1.2E-2</c:v>
                  </c:pt>
                  <c:pt idx="8">
                    <c:v>2.5000000000000001E-3</c:v>
                  </c:pt>
                  <c:pt idx="9">
                    <c:v>0</c:v>
                  </c:pt>
                  <c:pt idx="10">
                    <c:v>4.0000000000000001E-3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1.8E-3</c:v>
                  </c:pt>
                  <c:pt idx="14">
                    <c:v>4.1999999999999997E-3</c:v>
                  </c:pt>
                  <c:pt idx="15">
                    <c:v>5.3E-3</c:v>
                  </c:pt>
                  <c:pt idx="16">
                    <c:v>1.1000000000000001E-3</c:v>
                  </c:pt>
                  <c:pt idx="17">
                    <c:v>0.01</c:v>
                  </c:pt>
                  <c:pt idx="1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99-4552-A075-C363C713C4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-14387</c:v>
                </c:pt>
                <c:pt idx="1">
                  <c:v>-14326.5</c:v>
                </c:pt>
                <c:pt idx="2">
                  <c:v>-14316</c:v>
                </c:pt>
                <c:pt idx="3">
                  <c:v>-14284.5</c:v>
                </c:pt>
                <c:pt idx="4">
                  <c:v>-13427.5</c:v>
                </c:pt>
                <c:pt idx="5">
                  <c:v>-187.5</c:v>
                </c:pt>
                <c:pt idx="6">
                  <c:v>-179.5</c:v>
                </c:pt>
                <c:pt idx="7">
                  <c:v>-177</c:v>
                </c:pt>
                <c:pt idx="8">
                  <c:v>-92.5</c:v>
                </c:pt>
                <c:pt idx="9">
                  <c:v>0</c:v>
                </c:pt>
                <c:pt idx="10">
                  <c:v>12.5</c:v>
                </c:pt>
                <c:pt idx="11">
                  <c:v>1027</c:v>
                </c:pt>
                <c:pt idx="12">
                  <c:v>1975.5</c:v>
                </c:pt>
                <c:pt idx="13">
                  <c:v>2060</c:v>
                </c:pt>
                <c:pt idx="14">
                  <c:v>2147</c:v>
                </c:pt>
                <c:pt idx="15">
                  <c:v>2149.5</c:v>
                </c:pt>
                <c:pt idx="16">
                  <c:v>2732.5</c:v>
                </c:pt>
                <c:pt idx="17">
                  <c:v>7640</c:v>
                </c:pt>
                <c:pt idx="18">
                  <c:v>7817.5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-7.7547844360872586E-2</c:v>
                </c:pt>
                <c:pt idx="1">
                  <c:v>-7.7213979809230698E-2</c:v>
                </c:pt>
                <c:pt idx="2">
                  <c:v>-7.7156036374648213E-2</c:v>
                </c:pt>
                <c:pt idx="3">
                  <c:v>-7.6982206070900783E-2</c:v>
                </c:pt>
                <c:pt idx="4">
                  <c:v>-7.2252918124502477E-2</c:v>
                </c:pt>
                <c:pt idx="5">
                  <c:v>8.1099367282961199E-4</c:v>
                </c:pt>
                <c:pt idx="6">
                  <c:v>8.5514105155911789E-4</c:v>
                </c:pt>
                <c:pt idx="7">
                  <c:v>8.689371074120883E-4</c:v>
                </c:pt>
                <c:pt idx="8">
                  <c:v>1.3352437952424932E-3</c:v>
                </c:pt>
                <c:pt idx="9">
                  <c:v>1.8456978618024041E-3</c:v>
                </c:pt>
                <c:pt idx="10">
                  <c:v>1.9146781410672568E-3</c:v>
                </c:pt>
                <c:pt idx="11">
                  <c:v>7.5131176062027101E-3</c:v>
                </c:pt>
                <c:pt idx="12">
                  <c:v>1.2747341196819742E-2</c:v>
                </c:pt>
                <c:pt idx="13">
                  <c:v>1.3213647884650147E-2</c:v>
                </c:pt>
                <c:pt idx="14">
                  <c:v>1.3693750628333522E-2</c:v>
                </c:pt>
                <c:pt idx="15">
                  <c:v>1.3707546684186491E-2</c:v>
                </c:pt>
                <c:pt idx="16">
                  <c:v>1.6924786909099227E-2</c:v>
                </c:pt>
                <c:pt idx="17">
                  <c:v>4.4006444548480433E-2</c:v>
                </c:pt>
                <c:pt idx="18">
                  <c:v>4.4985964514041341E-2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99-4552-A075-C363C713C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66032"/>
        <c:axId val="1"/>
      </c:scatterChart>
      <c:valAx>
        <c:axId val="71396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966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16129032258064"/>
          <c:y val="0.92073298764483702"/>
          <c:w val="0.7306451612903225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15</xdr:col>
      <xdr:colOff>247650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D798117-D352-4D03-45D4-87BF88CFC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1134EC4-2379-7DAC-DF7B-60AD79DF3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30" sqref="C3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5" t="s">
        <v>34</v>
      </c>
    </row>
    <row r="2" spans="1:7" ht="12.95" customHeight="1" x14ac:dyDescent="0.2">
      <c r="A2" t="s">
        <v>23</v>
      </c>
      <c r="B2" t="s">
        <v>31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7" t="s">
        <v>28</v>
      </c>
      <c r="D4" s="8" t="s">
        <v>28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10">
        <v>52901.852700000003</v>
      </c>
      <c r="D7" t="s">
        <v>30</v>
      </c>
    </row>
    <row r="8" spans="1:7" ht="12.95" customHeight="1" x14ac:dyDescent="0.2">
      <c r="A8" t="s">
        <v>3</v>
      </c>
      <c r="C8" s="10">
        <v>0.37938260000000001</v>
      </c>
      <c r="D8" t="s">
        <v>30</v>
      </c>
    </row>
    <row r="9" spans="1:7" ht="12.95" customHeight="1" x14ac:dyDescent="0.2">
      <c r="A9" s="17" t="s">
        <v>38</v>
      </c>
      <c r="B9" s="18"/>
      <c r="C9" s="19">
        <v>-9.5</v>
      </c>
      <c r="D9" s="18" t="s">
        <v>39</v>
      </c>
      <c r="E9" s="18"/>
    </row>
    <row r="10" spans="1:7" ht="12.95" customHeight="1" thickBot="1" x14ac:dyDescent="0.25">
      <c r="A10" s="18"/>
      <c r="B10" s="18"/>
      <c r="C10" s="3" t="s">
        <v>19</v>
      </c>
      <c r="D10" s="3" t="s">
        <v>20</v>
      </c>
      <c r="E10" s="18"/>
    </row>
    <row r="11" spans="1:7" ht="12.95" customHeight="1" x14ac:dyDescent="0.2">
      <c r="A11" s="18" t="s">
        <v>15</v>
      </c>
      <c r="B11" s="18"/>
      <c r="C11" s="20">
        <f ca="1">INTERCEPT(INDIRECT($G$11):G992,INDIRECT($F$11):F992)</f>
        <v>1.8456978618024041E-3</v>
      </c>
      <c r="D11" s="2"/>
      <c r="E11" s="18"/>
      <c r="F11" s="21" t="str">
        <f>"F"&amp;E19</f>
        <v>F32</v>
      </c>
      <c r="G11" s="22" t="str">
        <f>"G"&amp;E19</f>
        <v>G32</v>
      </c>
    </row>
    <row r="12" spans="1:7" ht="12.95" customHeight="1" x14ac:dyDescent="0.2">
      <c r="A12" s="18" t="s">
        <v>16</v>
      </c>
      <c r="B12" s="18"/>
      <c r="C12" s="20">
        <f ca="1">SLOPE(INDIRECT($G$11):G992,INDIRECT($F$11):F992)</f>
        <v>5.5184223411882243E-6</v>
      </c>
      <c r="D12" s="2"/>
      <c r="E12" s="18"/>
    </row>
    <row r="13" spans="1:7" ht="12.95" customHeight="1" x14ac:dyDescent="0.2">
      <c r="A13" s="18" t="s">
        <v>18</v>
      </c>
      <c r="B13" s="18"/>
      <c r="C13" s="2" t="s">
        <v>13</v>
      </c>
      <c r="D13" s="25" t="s">
        <v>46</v>
      </c>
      <c r="E13" s="19">
        <v>1</v>
      </c>
    </row>
    <row r="14" spans="1:7" ht="12.95" customHeight="1" x14ac:dyDescent="0.2">
      <c r="A14" s="18"/>
      <c r="B14" s="18"/>
      <c r="C14" s="18"/>
      <c r="D14" s="25" t="s">
        <v>40</v>
      </c>
      <c r="E14" s="26">
        <f ca="1">NOW()+15018.5+$C$9/24</f>
        <v>60371.770015856477</v>
      </c>
    </row>
    <row r="15" spans="1:7" ht="12.95" customHeight="1" x14ac:dyDescent="0.2">
      <c r="A15" s="23" t="s">
        <v>17</v>
      </c>
      <c r="B15" s="18"/>
      <c r="C15" s="24">
        <f ca="1">(C7+C11)+(C8+C12)*INT(MAX(F21:F3533))</f>
        <v>55867.531467405308</v>
      </c>
      <c r="D15" s="25" t="s">
        <v>47</v>
      </c>
      <c r="E15" s="26">
        <f ca="1">ROUND(2*(E14-$C$7)/$C$8,0)/2+E13</f>
        <v>19690.5</v>
      </c>
    </row>
    <row r="16" spans="1:7" ht="12.95" customHeight="1" x14ac:dyDescent="0.2">
      <c r="A16" s="27" t="s">
        <v>4</v>
      </c>
      <c r="B16" s="18"/>
      <c r="C16" s="28">
        <f ca="1">+C8+C12</f>
        <v>0.37938811842234121</v>
      </c>
      <c r="D16" s="25" t="s">
        <v>41</v>
      </c>
      <c r="E16" s="22">
        <f ca="1">ROUND(2*(E14-$C$15)/$C$16,0)/2+E13</f>
        <v>11873.5</v>
      </c>
    </row>
    <row r="17" spans="1:17" ht="12.95" customHeight="1" thickBot="1" x14ac:dyDescent="0.25">
      <c r="A17" s="25" t="s">
        <v>29</v>
      </c>
      <c r="B17" s="18"/>
      <c r="C17" s="18">
        <f>COUNT(C21:C2191)</f>
        <v>19</v>
      </c>
      <c r="D17" s="25" t="s">
        <v>42</v>
      </c>
      <c r="E17" s="29">
        <f ca="1">+$C$15+$C$16*E16-15018.5-$C$9/24</f>
        <v>45354.092124826311</v>
      </c>
    </row>
    <row r="18" spans="1:17" ht="12.95" customHeight="1" thickTop="1" thickBot="1" x14ac:dyDescent="0.25">
      <c r="A18" s="27" t="s">
        <v>5</v>
      </c>
      <c r="B18" s="18"/>
      <c r="C18" s="30">
        <f ca="1">+C15</f>
        <v>55867.531467405308</v>
      </c>
      <c r="D18" s="31">
        <f ca="1">+C16</f>
        <v>0.37938811842234121</v>
      </c>
      <c r="E18" s="32" t="s">
        <v>43</v>
      </c>
    </row>
    <row r="19" spans="1:17" ht="12.95" customHeight="1" thickTop="1" x14ac:dyDescent="0.2">
      <c r="A19" s="33" t="s">
        <v>44</v>
      </c>
      <c r="E19" s="34">
        <v>32</v>
      </c>
    </row>
    <row r="20" spans="1:17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30</v>
      </c>
      <c r="I20" s="6" t="s">
        <v>105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</row>
    <row r="21" spans="1:17" ht="12.95" customHeight="1" x14ac:dyDescent="0.2">
      <c r="A21" s="16" t="s">
        <v>37</v>
      </c>
      <c r="B21" s="2" t="s">
        <v>35</v>
      </c>
      <c r="C21" s="9">
        <v>47443.714999999851</v>
      </c>
      <c r="D21" s="9">
        <v>0.02</v>
      </c>
      <c r="E21">
        <f t="shared" ref="E21:E39" si="0">+(C21-C$7)/C$8</f>
        <v>-14386.895181803678</v>
      </c>
      <c r="F21">
        <f t="shared" ref="F21:F39" si="1">ROUND(2*E21,0)/2</f>
        <v>-14387</v>
      </c>
      <c r="G21">
        <f t="shared" ref="G21:G39" si="2">+C21-(C$7+F21*C$8)</f>
        <v>3.9766199850419071E-2</v>
      </c>
      <c r="I21">
        <f t="shared" ref="I21:I29" si="3">+G21</f>
        <v>3.9766199850419071E-2</v>
      </c>
      <c r="O21">
        <f t="shared" ref="O21:O39" ca="1" si="4">+C$11+C$12*$F21</f>
        <v>-7.7547844360872586E-2</v>
      </c>
      <c r="Q21" s="1">
        <f t="shared" ref="Q21:Q39" si="5">+C21-15018.5</f>
        <v>32425.214999999851</v>
      </c>
    </row>
    <row r="22" spans="1:17" ht="12.95" customHeight="1" x14ac:dyDescent="0.2">
      <c r="A22" s="16" t="s">
        <v>37</v>
      </c>
      <c r="B22" s="2" t="s">
        <v>36</v>
      </c>
      <c r="C22" s="9">
        <v>47466.651000000071</v>
      </c>
      <c r="D22" s="9">
        <v>0.02</v>
      </c>
      <c r="E22">
        <f t="shared" si="0"/>
        <v>-14326.439061780726</v>
      </c>
      <c r="F22">
        <f t="shared" si="1"/>
        <v>-14326.5</v>
      </c>
      <c r="G22">
        <f t="shared" si="2"/>
        <v>2.3118900069675874E-2</v>
      </c>
      <c r="I22">
        <f t="shared" si="3"/>
        <v>2.3118900069675874E-2</v>
      </c>
      <c r="O22">
        <f t="shared" ca="1" si="4"/>
        <v>-7.7213979809230698E-2</v>
      </c>
      <c r="Q22" s="1">
        <f t="shared" si="5"/>
        <v>32448.151000000071</v>
      </c>
    </row>
    <row r="23" spans="1:17" ht="12.95" customHeight="1" x14ac:dyDescent="0.2">
      <c r="A23" s="16" t="s">
        <v>37</v>
      </c>
      <c r="B23" s="2" t="s">
        <v>35</v>
      </c>
      <c r="C23" s="9">
        <v>47470.64000000013</v>
      </c>
      <c r="D23" s="9">
        <v>0.02</v>
      </c>
      <c r="E23">
        <f t="shared" si="0"/>
        <v>-14315.924610142565</v>
      </c>
      <c r="F23">
        <f t="shared" si="1"/>
        <v>-14316</v>
      </c>
      <c r="G23">
        <f t="shared" si="2"/>
        <v>2.8601600126421545E-2</v>
      </c>
      <c r="I23">
        <f t="shared" si="3"/>
        <v>2.8601600126421545E-2</v>
      </c>
      <c r="O23">
        <f t="shared" ca="1" si="4"/>
        <v>-7.7156036374648213E-2</v>
      </c>
      <c r="Q23" s="1">
        <f t="shared" si="5"/>
        <v>32452.14000000013</v>
      </c>
    </row>
    <row r="24" spans="1:17" ht="12.95" customHeight="1" x14ac:dyDescent="0.2">
      <c r="A24" s="16" t="s">
        <v>37</v>
      </c>
      <c r="B24" s="2" t="s">
        <v>36</v>
      </c>
      <c r="C24" s="9">
        <v>47482.606000000145</v>
      </c>
      <c r="D24" s="9">
        <v>0.02</v>
      </c>
      <c r="E24">
        <f t="shared" si="0"/>
        <v>-14284.383891090043</v>
      </c>
      <c r="F24">
        <f t="shared" si="1"/>
        <v>-14284.5</v>
      </c>
      <c r="G24">
        <f t="shared" si="2"/>
        <v>4.4049700140021741E-2</v>
      </c>
      <c r="I24">
        <f t="shared" si="3"/>
        <v>4.4049700140021741E-2</v>
      </c>
      <c r="O24">
        <f t="shared" ca="1" si="4"/>
        <v>-7.6982206070900783E-2</v>
      </c>
      <c r="Q24" s="1">
        <f t="shared" si="5"/>
        <v>32464.106000000145</v>
      </c>
    </row>
    <row r="25" spans="1:17" ht="12.95" customHeight="1" x14ac:dyDescent="0.2">
      <c r="A25" s="16" t="s">
        <v>37</v>
      </c>
      <c r="B25" s="2" t="s">
        <v>36</v>
      </c>
      <c r="C25" s="9">
        <v>47807.717999999877</v>
      </c>
      <c r="D25" s="9">
        <v>0.02</v>
      </c>
      <c r="E25">
        <f t="shared" si="0"/>
        <v>-13427.433677770478</v>
      </c>
      <c r="F25">
        <f t="shared" si="1"/>
        <v>-13427.5</v>
      </c>
      <c r="G25">
        <f t="shared" si="2"/>
        <v>2.5161499870591797E-2</v>
      </c>
      <c r="I25">
        <f t="shared" si="3"/>
        <v>2.5161499870591797E-2</v>
      </c>
      <c r="O25">
        <f t="shared" ca="1" si="4"/>
        <v>-7.2252918124502477E-2</v>
      </c>
      <c r="Q25" s="1">
        <f t="shared" si="5"/>
        <v>32789.217999999877</v>
      </c>
    </row>
    <row r="26" spans="1:17" ht="12.95" customHeight="1" x14ac:dyDescent="0.2">
      <c r="A26" s="16" t="s">
        <v>37</v>
      </c>
      <c r="B26" s="2" t="s">
        <v>35</v>
      </c>
      <c r="C26" s="9">
        <v>52830.759999999776</v>
      </c>
      <c r="D26" s="9">
        <v>1.2E-2</v>
      </c>
      <c r="E26">
        <f t="shared" si="0"/>
        <v>-187.39051290234875</v>
      </c>
      <c r="F26">
        <f t="shared" si="1"/>
        <v>-187.5</v>
      </c>
      <c r="G26">
        <f t="shared" si="2"/>
        <v>4.1537499775586184E-2</v>
      </c>
      <c r="I26">
        <f t="shared" si="3"/>
        <v>4.1537499775586184E-2</v>
      </c>
      <c r="O26">
        <f t="shared" ca="1" si="4"/>
        <v>8.1099367282961199E-4</v>
      </c>
      <c r="Q26" s="1">
        <f t="shared" si="5"/>
        <v>37812.259999999776</v>
      </c>
    </row>
    <row r="27" spans="1:17" ht="12.95" customHeight="1" x14ac:dyDescent="0.2">
      <c r="A27" s="16" t="s">
        <v>37</v>
      </c>
      <c r="B27" s="2" t="s">
        <v>36</v>
      </c>
      <c r="C27" s="9">
        <v>52833.731999999844</v>
      </c>
      <c r="D27" s="9">
        <v>1.9E-2</v>
      </c>
      <c r="E27">
        <f t="shared" si="0"/>
        <v>-179.55673243886133</v>
      </c>
      <c r="F27">
        <f t="shared" si="1"/>
        <v>-179.5</v>
      </c>
      <c r="G27">
        <f t="shared" si="2"/>
        <v>-2.152330015815096E-2</v>
      </c>
      <c r="I27">
        <f t="shared" si="3"/>
        <v>-2.152330015815096E-2</v>
      </c>
      <c r="O27">
        <f t="shared" ca="1" si="4"/>
        <v>8.5514105155911789E-4</v>
      </c>
      <c r="Q27" s="1">
        <f t="shared" si="5"/>
        <v>37815.231999999844</v>
      </c>
    </row>
    <row r="28" spans="1:17" ht="12.95" customHeight="1" x14ac:dyDescent="0.2">
      <c r="A28" s="16" t="s">
        <v>37</v>
      </c>
      <c r="B28" s="2" t="s">
        <v>35</v>
      </c>
      <c r="C28" s="9">
        <v>52834.719000000041</v>
      </c>
      <c r="D28" s="9">
        <v>1.2E-2</v>
      </c>
      <c r="E28">
        <f t="shared" si="0"/>
        <v>-176.95513710950928</v>
      </c>
      <c r="F28">
        <f t="shared" si="1"/>
        <v>-177</v>
      </c>
      <c r="G28">
        <f t="shared" si="2"/>
        <v>1.7020200037222821E-2</v>
      </c>
      <c r="I28">
        <f t="shared" si="3"/>
        <v>1.7020200037222821E-2</v>
      </c>
      <c r="O28">
        <f t="shared" ca="1" si="4"/>
        <v>8.689371074120883E-4</v>
      </c>
      <c r="Q28" s="1">
        <f t="shared" si="5"/>
        <v>37816.219000000041</v>
      </c>
    </row>
    <row r="29" spans="1:17" ht="12.95" customHeight="1" x14ac:dyDescent="0.2">
      <c r="A29" s="16" t="s">
        <v>37</v>
      </c>
      <c r="B29" s="2" t="s">
        <v>36</v>
      </c>
      <c r="C29" s="9">
        <v>52866.734000000171</v>
      </c>
      <c r="D29" s="9">
        <v>2.5000000000000001E-3</v>
      </c>
      <c r="E29">
        <f t="shared" si="0"/>
        <v>-92.568030267681578</v>
      </c>
      <c r="F29">
        <f t="shared" si="1"/>
        <v>-92.5</v>
      </c>
      <c r="G29">
        <f t="shared" si="2"/>
        <v>-2.580949983530445E-2</v>
      </c>
      <c r="I29">
        <f t="shared" si="3"/>
        <v>-2.580949983530445E-2</v>
      </c>
      <c r="O29">
        <f t="shared" ca="1" si="4"/>
        <v>1.3352437952424932E-3</v>
      </c>
      <c r="Q29" s="1">
        <f t="shared" si="5"/>
        <v>37848.234000000171</v>
      </c>
    </row>
    <row r="30" spans="1:17" ht="12.95" customHeight="1" x14ac:dyDescent="0.2">
      <c r="A30" t="s">
        <v>30</v>
      </c>
      <c r="C30" s="9">
        <v>52901.852700000003</v>
      </c>
      <c r="D30" s="9" t="s">
        <v>13</v>
      </c>
      <c r="E30">
        <f t="shared" si="0"/>
        <v>0</v>
      </c>
      <c r="F30">
        <f t="shared" si="1"/>
        <v>0</v>
      </c>
      <c r="G30">
        <f t="shared" si="2"/>
        <v>0</v>
      </c>
      <c r="H30">
        <f>+G30</f>
        <v>0</v>
      </c>
      <c r="O30">
        <f t="shared" ca="1" si="4"/>
        <v>1.8456978618024041E-3</v>
      </c>
      <c r="Q30" s="1">
        <f t="shared" si="5"/>
        <v>37883.352700000003</v>
      </c>
    </row>
    <row r="31" spans="1:17" ht="12.95" customHeight="1" x14ac:dyDescent="0.2">
      <c r="A31" s="16" t="s">
        <v>37</v>
      </c>
      <c r="B31" s="2" t="s">
        <v>35</v>
      </c>
      <c r="C31" s="9">
        <v>52906.674000000115</v>
      </c>
      <c r="D31" s="9">
        <v>4.0000000000000001E-3</v>
      </c>
      <c r="E31">
        <f t="shared" si="0"/>
        <v>12.708279188640669</v>
      </c>
      <c r="F31">
        <f t="shared" si="1"/>
        <v>12.5</v>
      </c>
      <c r="G31">
        <f t="shared" si="2"/>
        <v>7.9017500109330285E-2</v>
      </c>
      <c r="I31">
        <f t="shared" ref="I31:I37" si="6">+G31</f>
        <v>7.9017500109330285E-2</v>
      </c>
      <c r="O31">
        <f t="shared" ca="1" si="4"/>
        <v>1.9146781410672568E-3</v>
      </c>
      <c r="Q31" s="1">
        <f t="shared" si="5"/>
        <v>37888.174000000115</v>
      </c>
    </row>
    <row r="32" spans="1:17" ht="12.95" customHeight="1" x14ac:dyDescent="0.2">
      <c r="A32" s="11" t="s">
        <v>32</v>
      </c>
      <c r="B32" s="12"/>
      <c r="C32" s="13">
        <v>53291.486499999999</v>
      </c>
      <c r="D32" s="13">
        <v>1.2999999999999999E-3</v>
      </c>
      <c r="E32">
        <f t="shared" si="0"/>
        <v>1027.0207437030479</v>
      </c>
      <c r="F32">
        <f t="shared" si="1"/>
        <v>1027</v>
      </c>
      <c r="G32">
        <f t="shared" si="2"/>
        <v>7.8697999924770556E-3</v>
      </c>
      <c r="I32">
        <f t="shared" si="6"/>
        <v>7.8697999924770556E-3</v>
      </c>
      <c r="O32">
        <f t="shared" ca="1" si="4"/>
        <v>7.5131176062027101E-3</v>
      </c>
      <c r="Q32" s="1">
        <f t="shared" si="5"/>
        <v>38272.986499999999</v>
      </c>
    </row>
    <row r="33" spans="1:17" ht="12.95" customHeight="1" x14ac:dyDescent="0.2">
      <c r="A33" s="14" t="s">
        <v>33</v>
      </c>
      <c r="B33" s="12"/>
      <c r="C33" s="13">
        <v>53651.333299999998</v>
      </c>
      <c r="D33" s="13">
        <v>8.0000000000000004E-4</v>
      </c>
      <c r="E33">
        <f t="shared" si="0"/>
        <v>1975.527080050575</v>
      </c>
      <c r="F33">
        <f t="shared" si="1"/>
        <v>1975.5</v>
      </c>
      <c r="G33">
        <f t="shared" si="2"/>
        <v>1.0273699997924268E-2</v>
      </c>
      <c r="I33">
        <f t="shared" si="6"/>
        <v>1.0273699997924268E-2</v>
      </c>
      <c r="O33">
        <f t="shared" ca="1" si="4"/>
        <v>1.2747341196819742E-2</v>
      </c>
      <c r="Q33" s="1">
        <f t="shared" si="5"/>
        <v>38632.833299999998</v>
      </c>
    </row>
    <row r="34" spans="1:17" ht="12.95" customHeight="1" x14ac:dyDescent="0.2">
      <c r="A34" s="14" t="s">
        <v>33</v>
      </c>
      <c r="B34" s="12"/>
      <c r="C34" s="13">
        <v>53683.391600000003</v>
      </c>
      <c r="D34" s="13">
        <v>1.8E-3</v>
      </c>
      <c r="E34">
        <f t="shared" si="0"/>
        <v>2060.0283196962632</v>
      </c>
      <c r="F34">
        <f t="shared" si="1"/>
        <v>2060</v>
      </c>
      <c r="G34">
        <f t="shared" si="2"/>
        <v>1.0743999999249354E-2</v>
      </c>
      <c r="I34">
        <f t="shared" si="6"/>
        <v>1.0743999999249354E-2</v>
      </c>
      <c r="O34">
        <f t="shared" ca="1" si="4"/>
        <v>1.3213647884650147E-2</v>
      </c>
      <c r="Q34" s="1">
        <f t="shared" si="5"/>
        <v>38664.891600000003</v>
      </c>
    </row>
    <row r="35" spans="1:17" ht="12.95" customHeight="1" x14ac:dyDescent="0.2">
      <c r="A35" s="14" t="s">
        <v>33</v>
      </c>
      <c r="B35" s="12"/>
      <c r="C35" s="13">
        <v>53716.402900000001</v>
      </c>
      <c r="D35" s="13">
        <v>4.1999999999999997E-3</v>
      </c>
      <c r="E35">
        <f t="shared" si="0"/>
        <v>2147.0415353787912</v>
      </c>
      <c r="F35">
        <f t="shared" si="1"/>
        <v>2147</v>
      </c>
      <c r="G35">
        <f t="shared" si="2"/>
        <v>1.5757799999846611E-2</v>
      </c>
      <c r="I35">
        <f t="shared" si="6"/>
        <v>1.5757799999846611E-2</v>
      </c>
      <c r="O35">
        <f t="shared" ca="1" si="4"/>
        <v>1.3693750628333522E-2</v>
      </c>
      <c r="Q35" s="1">
        <f t="shared" si="5"/>
        <v>38697.902900000001</v>
      </c>
    </row>
    <row r="36" spans="1:17" ht="12.95" customHeight="1" x14ac:dyDescent="0.2">
      <c r="A36" s="14" t="s">
        <v>33</v>
      </c>
      <c r="B36" s="12"/>
      <c r="C36" s="13">
        <v>53717.352299999999</v>
      </c>
      <c r="D36" s="13">
        <v>5.3E-3</v>
      </c>
      <c r="E36">
        <f t="shared" si="0"/>
        <v>2149.5440223141377</v>
      </c>
      <c r="F36">
        <f t="shared" si="1"/>
        <v>2149.5</v>
      </c>
      <c r="G36">
        <f t="shared" si="2"/>
        <v>1.6701299995474983E-2</v>
      </c>
      <c r="I36">
        <f t="shared" si="6"/>
        <v>1.6701299995474983E-2</v>
      </c>
      <c r="O36">
        <f t="shared" ca="1" si="4"/>
        <v>1.3707546684186491E-2</v>
      </c>
      <c r="Q36" s="1">
        <f t="shared" si="5"/>
        <v>38698.852299999999</v>
      </c>
    </row>
    <row r="37" spans="1:17" ht="12.95" customHeight="1" x14ac:dyDescent="0.2">
      <c r="A37" s="35" t="s">
        <v>45</v>
      </c>
      <c r="B37" s="12"/>
      <c r="C37" s="35">
        <v>53938.532099999997</v>
      </c>
      <c r="D37" s="35">
        <v>1.1000000000000001E-3</v>
      </c>
      <c r="E37">
        <f t="shared" si="0"/>
        <v>2732.5433480607535</v>
      </c>
      <c r="F37">
        <f t="shared" si="1"/>
        <v>2732.5</v>
      </c>
      <c r="G37">
        <f t="shared" si="2"/>
        <v>1.6445499990368262E-2</v>
      </c>
      <c r="I37">
        <f t="shared" si="6"/>
        <v>1.6445499990368262E-2</v>
      </c>
      <c r="O37">
        <f t="shared" ca="1" si="4"/>
        <v>1.6924786909099227E-2</v>
      </c>
      <c r="Q37" s="1">
        <f t="shared" si="5"/>
        <v>38920.032099999997</v>
      </c>
    </row>
    <row r="38" spans="1:17" ht="12.95" customHeight="1" x14ac:dyDescent="0.2">
      <c r="A38" s="39" t="s">
        <v>49</v>
      </c>
      <c r="B38" s="40" t="s">
        <v>36</v>
      </c>
      <c r="C38" s="41">
        <v>55800.379840000001</v>
      </c>
      <c r="D38" s="41">
        <v>0.01</v>
      </c>
      <c r="E38">
        <f t="shared" si="0"/>
        <v>7640.1161782327345</v>
      </c>
      <c r="F38">
        <f t="shared" si="1"/>
        <v>7640</v>
      </c>
      <c r="G38">
        <f t="shared" si="2"/>
        <v>4.4075999998312909E-2</v>
      </c>
      <c r="I38">
        <f>+G38</f>
        <v>4.4075999998312909E-2</v>
      </c>
      <c r="O38">
        <f t="shared" ca="1" si="4"/>
        <v>4.4006444548480433E-2</v>
      </c>
      <c r="Q38" s="1">
        <f t="shared" si="5"/>
        <v>40781.879840000001</v>
      </c>
    </row>
    <row r="39" spans="1:17" ht="12.95" customHeight="1" x14ac:dyDescent="0.2">
      <c r="A39" s="36" t="s">
        <v>48</v>
      </c>
      <c r="B39" s="37" t="s">
        <v>36</v>
      </c>
      <c r="C39" s="36">
        <v>55867.721100000002</v>
      </c>
      <c r="D39" s="36">
        <v>8.0000000000000004E-4</v>
      </c>
      <c r="E39">
        <f t="shared" si="0"/>
        <v>7817.6184147612448</v>
      </c>
      <c r="F39">
        <f t="shared" si="1"/>
        <v>7817.5</v>
      </c>
      <c r="G39">
        <f t="shared" si="2"/>
        <v>4.4924499998160172E-2</v>
      </c>
      <c r="I39">
        <f>+G39</f>
        <v>4.4924499998160172E-2</v>
      </c>
      <c r="O39">
        <f t="shared" ca="1" si="4"/>
        <v>4.4985964514041341E-2</v>
      </c>
      <c r="Q39" s="1">
        <f t="shared" si="5"/>
        <v>40849.221100000002</v>
      </c>
    </row>
    <row r="40" spans="1:17" ht="12.95" customHeight="1" x14ac:dyDescent="0.2">
      <c r="A40" s="10"/>
      <c r="B40" s="38"/>
      <c r="C40" s="13"/>
      <c r="D40" s="13"/>
    </row>
    <row r="41" spans="1:17" ht="12.95" customHeight="1" x14ac:dyDescent="0.2">
      <c r="A41" s="10"/>
      <c r="B41" s="38"/>
      <c r="C41" s="13"/>
      <c r="D41" s="13"/>
    </row>
    <row r="42" spans="1:17" ht="12.95" customHeight="1" x14ac:dyDescent="0.2">
      <c r="C42" s="9"/>
      <c r="D42" s="9"/>
    </row>
    <row r="43" spans="1:17" ht="12.95" customHeight="1" x14ac:dyDescent="0.2">
      <c r="C43" s="9"/>
      <c r="D43" s="9"/>
    </row>
    <row r="44" spans="1:17" ht="12.95" customHeight="1" x14ac:dyDescent="0.2">
      <c r="C44" s="9"/>
      <c r="D44" s="9"/>
    </row>
    <row r="45" spans="1:17" ht="12.95" customHeight="1" x14ac:dyDescent="0.2">
      <c r="C45" s="9"/>
      <c r="D45" s="9"/>
    </row>
    <row r="46" spans="1:17" ht="12.95" customHeight="1" x14ac:dyDescent="0.2">
      <c r="C46" s="9"/>
      <c r="D46" s="9"/>
    </row>
    <row r="47" spans="1:17" ht="12.95" customHeight="1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8"/>
  <sheetViews>
    <sheetView workbookViewId="0">
      <selection activeCell="A11" sqref="A11:IV448"/>
    </sheetView>
  </sheetViews>
  <sheetFormatPr defaultRowHeight="12.75" x14ac:dyDescent="0.2"/>
  <cols>
    <col min="1" max="1" width="19.7109375" style="9" customWidth="1"/>
    <col min="2" max="2" width="4.42578125" style="18" customWidth="1"/>
    <col min="3" max="3" width="12.7109375" style="9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9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 x14ac:dyDescent="0.25">
      <c r="A1" s="42" t="s">
        <v>50</v>
      </c>
      <c r="I1" s="43" t="s">
        <v>51</v>
      </c>
      <c r="J1" s="44" t="s">
        <v>52</v>
      </c>
    </row>
    <row r="2" spans="1:16" x14ac:dyDescent="0.2">
      <c r="I2" s="45" t="s">
        <v>53</v>
      </c>
      <c r="J2" s="46" t="s">
        <v>54</v>
      </c>
    </row>
    <row r="3" spans="1:16" x14ac:dyDescent="0.2">
      <c r="A3" s="47" t="s">
        <v>55</v>
      </c>
      <c r="I3" s="45" t="s">
        <v>56</v>
      </c>
      <c r="J3" s="46" t="s">
        <v>57</v>
      </c>
    </row>
    <row r="4" spans="1:16" x14ac:dyDescent="0.2">
      <c r="I4" s="45" t="s">
        <v>58</v>
      </c>
      <c r="J4" s="46" t="s">
        <v>57</v>
      </c>
    </row>
    <row r="5" spans="1:16" ht="13.5" thickBot="1" x14ac:dyDescent="0.25">
      <c r="I5" s="48" t="s">
        <v>59</v>
      </c>
      <c r="J5" s="49" t="s">
        <v>60</v>
      </c>
    </row>
    <row r="10" spans="1:16" ht="13.5" thickBot="1" x14ac:dyDescent="0.25"/>
    <row r="11" spans="1:16" ht="12.75" customHeight="1" thickBot="1" x14ac:dyDescent="0.25">
      <c r="A11" s="9" t="str">
        <f t="shared" ref="A11:A18" si="0">P11</f>
        <v>BAVM 173 </v>
      </c>
      <c r="B11" s="2" t="str">
        <f t="shared" ref="B11:B18" si="1">IF(H11=INT(H11),"I","II")</f>
        <v>I</v>
      </c>
      <c r="C11" s="9">
        <f t="shared" ref="C11:C18" si="2">1*G11</f>
        <v>53291.486499999999</v>
      </c>
      <c r="D11" s="18" t="str">
        <f t="shared" ref="D11:D18" si="3">VLOOKUP(F11,I$1:J$5,2,FALSE)</f>
        <v>vis</v>
      </c>
      <c r="E11" s="50">
        <f>VLOOKUP(C11,Active!C$21:E$973,3,FALSE)</f>
        <v>1027.0207437030479</v>
      </c>
      <c r="F11" s="2" t="s">
        <v>59</v>
      </c>
      <c r="G11" s="18" t="str">
        <f t="shared" ref="G11:G18" si="4">MID(I11,3,LEN(I11)-3)</f>
        <v>53291.4865</v>
      </c>
      <c r="H11" s="9">
        <f t="shared" ref="H11:H18" si="5">1*K11</f>
        <v>2086</v>
      </c>
      <c r="I11" s="51" t="s">
        <v>61</v>
      </c>
      <c r="J11" s="52" t="s">
        <v>62</v>
      </c>
      <c r="K11" s="51">
        <v>2086</v>
      </c>
      <c r="L11" s="51" t="s">
        <v>63</v>
      </c>
      <c r="M11" s="52" t="s">
        <v>64</v>
      </c>
      <c r="N11" s="52" t="s">
        <v>65</v>
      </c>
      <c r="O11" s="53" t="s">
        <v>66</v>
      </c>
      <c r="P11" s="54" t="s">
        <v>67</v>
      </c>
    </row>
    <row r="12" spans="1:16" ht="12.75" customHeight="1" thickBot="1" x14ac:dyDescent="0.25">
      <c r="A12" s="9" t="str">
        <f t="shared" si="0"/>
        <v>BAVM 178 </v>
      </c>
      <c r="B12" s="2" t="str">
        <f t="shared" si="1"/>
        <v>II</v>
      </c>
      <c r="C12" s="9">
        <f t="shared" si="2"/>
        <v>53651.333299999998</v>
      </c>
      <c r="D12" s="18" t="str">
        <f t="shared" si="3"/>
        <v>vis</v>
      </c>
      <c r="E12" s="50">
        <f>VLOOKUP(C12,Active!C$21:E$973,3,FALSE)</f>
        <v>1975.527080050575</v>
      </c>
      <c r="F12" s="2" t="s">
        <v>59</v>
      </c>
      <c r="G12" s="18" t="str">
        <f t="shared" si="4"/>
        <v>53651.3333</v>
      </c>
      <c r="H12" s="9">
        <f t="shared" si="5"/>
        <v>3034.5</v>
      </c>
      <c r="I12" s="51" t="s">
        <v>68</v>
      </c>
      <c r="J12" s="52" t="s">
        <v>69</v>
      </c>
      <c r="K12" s="51" t="s">
        <v>70</v>
      </c>
      <c r="L12" s="51" t="s">
        <v>71</v>
      </c>
      <c r="M12" s="52" t="s">
        <v>72</v>
      </c>
      <c r="N12" s="52" t="s">
        <v>65</v>
      </c>
      <c r="O12" s="53" t="s">
        <v>73</v>
      </c>
      <c r="P12" s="54" t="s">
        <v>74</v>
      </c>
    </row>
    <row r="13" spans="1:16" ht="12.75" customHeight="1" thickBot="1" x14ac:dyDescent="0.25">
      <c r="A13" s="9" t="str">
        <f t="shared" si="0"/>
        <v>BAVM 178 </v>
      </c>
      <c r="B13" s="2" t="str">
        <f t="shared" si="1"/>
        <v>I</v>
      </c>
      <c r="C13" s="9">
        <f t="shared" si="2"/>
        <v>53683.391600000003</v>
      </c>
      <c r="D13" s="18" t="str">
        <f t="shared" si="3"/>
        <v>vis</v>
      </c>
      <c r="E13" s="50">
        <f>VLOOKUP(C13,Active!C$21:E$973,3,FALSE)</f>
        <v>2060.0283196962632</v>
      </c>
      <c r="F13" s="2" t="s">
        <v>59</v>
      </c>
      <c r="G13" s="18" t="str">
        <f t="shared" si="4"/>
        <v>53683.3916</v>
      </c>
      <c r="H13" s="9">
        <f t="shared" si="5"/>
        <v>3119</v>
      </c>
      <c r="I13" s="51" t="s">
        <v>75</v>
      </c>
      <c r="J13" s="52" t="s">
        <v>76</v>
      </c>
      <c r="K13" s="51" t="s">
        <v>77</v>
      </c>
      <c r="L13" s="51" t="s">
        <v>71</v>
      </c>
      <c r="M13" s="52" t="s">
        <v>72</v>
      </c>
      <c r="N13" s="52" t="s">
        <v>65</v>
      </c>
      <c r="O13" s="53" t="s">
        <v>78</v>
      </c>
      <c r="P13" s="54" t="s">
        <v>74</v>
      </c>
    </row>
    <row r="14" spans="1:16" ht="12.75" customHeight="1" thickBot="1" x14ac:dyDescent="0.25">
      <c r="A14" s="9" t="str">
        <f t="shared" si="0"/>
        <v>BAVM 178 </v>
      </c>
      <c r="B14" s="2" t="str">
        <f t="shared" si="1"/>
        <v>I</v>
      </c>
      <c r="C14" s="9">
        <f t="shared" si="2"/>
        <v>53716.402900000001</v>
      </c>
      <c r="D14" s="18" t="str">
        <f t="shared" si="3"/>
        <v>vis</v>
      </c>
      <c r="E14" s="50">
        <f>VLOOKUP(C14,Active!C$21:E$973,3,FALSE)</f>
        <v>2147.0415353787912</v>
      </c>
      <c r="F14" s="2" t="s">
        <v>59</v>
      </c>
      <c r="G14" s="18" t="str">
        <f t="shared" si="4"/>
        <v>53716.4029</v>
      </c>
      <c r="H14" s="9">
        <f t="shared" si="5"/>
        <v>3206</v>
      </c>
      <c r="I14" s="51" t="s">
        <v>79</v>
      </c>
      <c r="J14" s="52" t="s">
        <v>80</v>
      </c>
      <c r="K14" s="51" t="s">
        <v>81</v>
      </c>
      <c r="L14" s="51" t="s">
        <v>82</v>
      </c>
      <c r="M14" s="52" t="s">
        <v>72</v>
      </c>
      <c r="N14" s="52" t="s">
        <v>83</v>
      </c>
      <c r="O14" s="53" t="s">
        <v>78</v>
      </c>
      <c r="P14" s="54" t="s">
        <v>74</v>
      </c>
    </row>
    <row r="15" spans="1:16" ht="12.75" customHeight="1" thickBot="1" x14ac:dyDescent="0.25">
      <c r="A15" s="9" t="str">
        <f t="shared" si="0"/>
        <v>BAVM 178 </v>
      </c>
      <c r="B15" s="2" t="str">
        <f t="shared" si="1"/>
        <v>II</v>
      </c>
      <c r="C15" s="9">
        <f t="shared" si="2"/>
        <v>53717.352299999999</v>
      </c>
      <c r="D15" s="18" t="str">
        <f t="shared" si="3"/>
        <v>vis</v>
      </c>
      <c r="E15" s="50">
        <f>VLOOKUP(C15,Active!C$21:E$973,3,FALSE)</f>
        <v>2149.5440223141377</v>
      </c>
      <c r="F15" s="2" t="s">
        <v>59</v>
      </c>
      <c r="G15" s="18" t="str">
        <f t="shared" si="4"/>
        <v>53717.3523</v>
      </c>
      <c r="H15" s="9">
        <f t="shared" si="5"/>
        <v>3208.5</v>
      </c>
      <c r="I15" s="51" t="s">
        <v>84</v>
      </c>
      <c r="J15" s="52" t="s">
        <v>85</v>
      </c>
      <c r="K15" s="51" t="s">
        <v>86</v>
      </c>
      <c r="L15" s="51" t="s">
        <v>87</v>
      </c>
      <c r="M15" s="52" t="s">
        <v>72</v>
      </c>
      <c r="N15" s="52" t="s">
        <v>83</v>
      </c>
      <c r="O15" s="53" t="s">
        <v>78</v>
      </c>
      <c r="P15" s="54" t="s">
        <v>74</v>
      </c>
    </row>
    <row r="16" spans="1:16" ht="12.75" customHeight="1" thickBot="1" x14ac:dyDescent="0.25">
      <c r="A16" s="9" t="str">
        <f t="shared" si="0"/>
        <v>BAVM 186 </v>
      </c>
      <c r="B16" s="2" t="str">
        <f t="shared" si="1"/>
        <v>II</v>
      </c>
      <c r="C16" s="9">
        <f t="shared" si="2"/>
        <v>53938.532099999997</v>
      </c>
      <c r="D16" s="18" t="str">
        <f t="shared" si="3"/>
        <v>vis</v>
      </c>
      <c r="E16" s="50">
        <f>VLOOKUP(C16,Active!C$21:E$973,3,FALSE)</f>
        <v>2732.5433480607535</v>
      </c>
      <c r="F16" s="2" t="s">
        <v>59</v>
      </c>
      <c r="G16" s="18" t="str">
        <f t="shared" si="4"/>
        <v>53938.5321</v>
      </c>
      <c r="H16" s="9">
        <f t="shared" si="5"/>
        <v>3791.5</v>
      </c>
      <c r="I16" s="51" t="s">
        <v>88</v>
      </c>
      <c r="J16" s="52" t="s">
        <v>89</v>
      </c>
      <c r="K16" s="51" t="s">
        <v>90</v>
      </c>
      <c r="L16" s="51" t="s">
        <v>91</v>
      </c>
      <c r="M16" s="52" t="s">
        <v>72</v>
      </c>
      <c r="N16" s="52" t="s">
        <v>65</v>
      </c>
      <c r="O16" s="53" t="s">
        <v>73</v>
      </c>
      <c r="P16" s="54" t="s">
        <v>92</v>
      </c>
    </row>
    <row r="17" spans="1:16" ht="12.75" customHeight="1" thickBot="1" x14ac:dyDescent="0.25">
      <c r="A17" s="9" t="str">
        <f t="shared" si="0"/>
        <v>OEJV 0160 </v>
      </c>
      <c r="B17" s="2" t="str">
        <f t="shared" si="1"/>
        <v>I</v>
      </c>
      <c r="C17" s="9">
        <f t="shared" si="2"/>
        <v>55800.379840000001</v>
      </c>
      <c r="D17" s="18" t="str">
        <f t="shared" si="3"/>
        <v>vis</v>
      </c>
      <c r="E17" s="50">
        <f>VLOOKUP(C17,Active!C$21:E$973,3,FALSE)</f>
        <v>7640.1161782327345</v>
      </c>
      <c r="F17" s="2" t="s">
        <v>59</v>
      </c>
      <c r="G17" s="18" t="str">
        <f t="shared" si="4"/>
        <v>55800.37984</v>
      </c>
      <c r="H17" s="9">
        <f t="shared" si="5"/>
        <v>8699</v>
      </c>
      <c r="I17" s="51" t="s">
        <v>93</v>
      </c>
      <c r="J17" s="52" t="s">
        <v>94</v>
      </c>
      <c r="K17" s="51" t="s">
        <v>95</v>
      </c>
      <c r="L17" s="51" t="s">
        <v>96</v>
      </c>
      <c r="M17" s="52" t="s">
        <v>72</v>
      </c>
      <c r="N17" s="52" t="s">
        <v>51</v>
      </c>
      <c r="O17" s="53" t="s">
        <v>97</v>
      </c>
      <c r="P17" s="54" t="s">
        <v>98</v>
      </c>
    </row>
    <row r="18" spans="1:16" ht="12.75" customHeight="1" thickBot="1" x14ac:dyDescent="0.25">
      <c r="A18" s="9" t="str">
        <f t="shared" si="0"/>
        <v>IBVS 6011 </v>
      </c>
      <c r="B18" s="2" t="str">
        <f t="shared" si="1"/>
        <v>II</v>
      </c>
      <c r="C18" s="9">
        <f t="shared" si="2"/>
        <v>55867.721100000002</v>
      </c>
      <c r="D18" s="18" t="str">
        <f t="shared" si="3"/>
        <v>vis</v>
      </c>
      <c r="E18" s="50">
        <f>VLOOKUP(C18,Active!C$21:E$973,3,FALSE)</f>
        <v>7817.6184147612448</v>
      </c>
      <c r="F18" s="2" t="s">
        <v>59</v>
      </c>
      <c r="G18" s="18" t="str">
        <f t="shared" si="4"/>
        <v>55867.7211</v>
      </c>
      <c r="H18" s="9">
        <f t="shared" si="5"/>
        <v>8876.5</v>
      </c>
      <c r="I18" s="51" t="s">
        <v>99</v>
      </c>
      <c r="J18" s="52" t="s">
        <v>100</v>
      </c>
      <c r="K18" s="51" t="s">
        <v>101</v>
      </c>
      <c r="L18" s="51" t="s">
        <v>102</v>
      </c>
      <c r="M18" s="52" t="s">
        <v>72</v>
      </c>
      <c r="N18" s="52" t="s">
        <v>59</v>
      </c>
      <c r="O18" s="53" t="s">
        <v>103</v>
      </c>
      <c r="P18" s="54" t="s">
        <v>104</v>
      </c>
    </row>
    <row r="19" spans="1:16" x14ac:dyDescent="0.2">
      <c r="B19" s="2"/>
      <c r="F19" s="2"/>
    </row>
    <row r="20" spans="1:16" x14ac:dyDescent="0.2">
      <c r="B20" s="2"/>
      <c r="F20" s="2"/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</sheetData>
  <phoneticPr fontId="7" type="noConversion"/>
  <hyperlinks>
    <hyperlink ref="P11" r:id="rId1" display="http://www.bav-astro.de/sfs/BAVM_link.php?BAVMnr=173"/>
    <hyperlink ref="P12" r:id="rId2" display="http://www.bav-astro.de/sfs/BAVM_link.php?BAVMnr=178"/>
    <hyperlink ref="P13" r:id="rId3" display="http://www.bav-astro.de/sfs/BAVM_link.php?BAVMnr=178"/>
    <hyperlink ref="P14" r:id="rId4" display="http://www.bav-astro.de/sfs/BAVM_link.php?BAVMnr=178"/>
    <hyperlink ref="P15" r:id="rId5" display="http://www.bav-astro.de/sfs/BAVM_link.php?BAVMnr=178"/>
    <hyperlink ref="P16" r:id="rId6" display="http://www.bav-astro.de/sfs/BAVM_link.php?BAVMnr=186"/>
    <hyperlink ref="P17" r:id="rId7" display="http://var.astro.cz/oejv/issues/oejv0160.pdf"/>
    <hyperlink ref="P18" r:id="rId8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2024-03-02T05:28:49Z</dcterms:modified>
</cp:coreProperties>
</file>