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8D1E8E-72A5-48DA-9CBF-72E563C14CD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C21" i="1"/>
  <c r="R22" i="1"/>
  <c r="A21" i="1"/>
  <c r="G11" i="1"/>
  <c r="F11" i="1"/>
  <c r="C7" i="1"/>
  <c r="E22" i="1"/>
  <c r="F22" i="1"/>
  <c r="G22" i="1"/>
  <c r="I22" i="1"/>
  <c r="C8" i="1"/>
  <c r="E15" i="1"/>
  <c r="C17" i="1"/>
  <c r="Q21" i="1"/>
  <c r="E23" i="1"/>
  <c r="F23" i="1"/>
  <c r="G23" i="1"/>
  <c r="I23" i="1"/>
  <c r="E21" i="1"/>
  <c r="F21" i="1"/>
  <c r="G21" i="1"/>
  <c r="H21" i="1"/>
  <c r="C11" i="1"/>
  <c r="C12" i="1"/>
  <c r="C16" i="1" l="1"/>
  <c r="D18" i="1" s="1"/>
  <c r="O21" i="1"/>
  <c r="O22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<sst xmlns="http://schemas.openxmlformats.org/spreadsheetml/2006/main" count="53" uniqueCount="46">
  <si>
    <t>OEJV 0191</t>
  </si>
  <si>
    <t>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</si>
  <si>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</si>
  <si>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</si>
  <si>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</si>
  <si>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</si>
  <si>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</si>
  <si>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</si>
  <si>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</si>
  <si>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</si>
  <si>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</si>
  <si>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</si>
  <si>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</si>
  <si>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</si>
  <si>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</si>
  <si>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</si>
  <si>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</si>
  <si>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</si>
  <si>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</si>
  <si>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</si>
  <si>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</si>
  <si>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</si>
  <si>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</si>
  <si>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</si>
  <si>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</si>
  <si>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</si>
  <si>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</si>
  <si>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</si>
  <si>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</si>
  <si>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</si>
  <si>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</si>
  <si>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</si>
  <si>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</si>
  <si>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</si>
  <si>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</si>
  <si>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</si>
  <si>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</si>
  <si>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</si>
  <si>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QT Peg / GSC 1709-1116</t>
  </si>
  <si>
    <t>Peg_QT.xls</t>
  </si>
  <si>
    <t>EA</t>
  </si>
  <si>
    <t>IBVS 5557 Eph.</t>
  </si>
  <si>
    <t>IBVS 5557</t>
  </si>
  <si>
    <t>Peg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</si>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</sst>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8" fillId="0" borderId="0" xfId="41" applyFont="1" applyAlignment="1">
      <alignment vertical="center"/>
    </xf>
    <xf numFmtId="0" fontId="28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Peg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</c:v>
                </c:pt>
                <c:pt idx="2">
                  <c:v>2719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13-4524-951C-44AD272D33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</c:v>
                </c:pt>
                <c:pt idx="2">
                  <c:v>2719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-4.0600000000267755E-2</c:v>
                </c:pt>
                <c:pt idx="2">
                  <c:v>-4.9299999998765998E-2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13-4524-951C-44AD272D33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</c:v>
                </c:pt>
                <c:pt idx="2">
                  <c:v>2719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13-4524-951C-44AD272D33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</c:v>
                </c:pt>
                <c:pt idx="2">
                  <c:v>2719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13-4524-951C-44AD272D33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</c:v>
                </c:pt>
                <c:pt idx="2">
                  <c:v>2719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13-4524-951C-44AD272D33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</c:v>
                </c:pt>
                <c:pt idx="2">
                  <c:v>2719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13-4524-951C-44AD272D33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</c:v>
                </c:pt>
                <c:pt idx="2">
                  <c:v>2719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13-4524-951C-44AD272D33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2608</c:v>
                </c:pt>
                <c:pt idx="2">
                  <c:v>2719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1.4206522637320515E-4</c:v>
                </c:pt>
                <c:pt idx="1">
                  <c:v>-4.4079958112959242E-2</c:v>
                </c:pt>
                <c:pt idx="2">
                  <c:v>-4.5962107112447706E-2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13-4524-951C-44AD272D3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961352"/>
        <c:axId val="1"/>
      </c:scatterChart>
      <c:valAx>
        <c:axId val="713961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961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DED30F-A7C3-468E-3AA9-C818A674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"/>
      <c r="F1" s="3" t="s">
        <v>39</v>
      </c>
      <c r="G1" s="4" t="s">
        <v>40</v>
      </c>
      <c r="H1" s="5" t="s">
        <v>41</v>
      </c>
      <c r="I1" s="4">
        <v>48645.097000000002</v>
      </c>
      <c r="J1" s="4">
        <v>3.5937000000000001</v>
      </c>
      <c r="K1" s="4" t="s">
        <v>42</v>
      </c>
      <c r="L1" s="4" t="s">
        <v>43</v>
      </c>
    </row>
    <row r="2" spans="1:12" s="3" customFormat="1" ht="12.95" customHeight="1" x14ac:dyDescent="0.2">
      <c r="A2" s="3" t="s">
        <v>24</v>
      </c>
      <c r="B2" s="3" t="s">
        <v>40</v>
      </c>
      <c r="D2" s="4" t="s">
        <v>43</v>
      </c>
      <c r="E2" s="3" t="s">
        <v>39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5" t="s">
        <v>41</v>
      </c>
      <c r="C4" s="6">
        <v>48645.097000000002</v>
      </c>
      <c r="D4" s="7">
        <v>3.5937000000000001</v>
      </c>
    </row>
    <row r="5" spans="1:12" s="3" customFormat="1" ht="12.95" customHeight="1" x14ac:dyDescent="0.2"/>
    <row r="6" spans="1:12" s="3" customFormat="1" ht="12.95" customHeight="1" x14ac:dyDescent="0.2">
      <c r="A6" s="8" t="s">
        <v>2</v>
      </c>
    </row>
    <row r="7" spans="1:12" s="3" customFormat="1" ht="12.95" customHeight="1" x14ac:dyDescent="0.2">
      <c r="A7" s="3" t="s">
        <v>3</v>
      </c>
      <c r="C7" s="3">
        <f>+C4</f>
        <v>48645.097000000002</v>
      </c>
    </row>
    <row r="8" spans="1:12" s="3" customFormat="1" ht="12.95" customHeight="1" x14ac:dyDescent="0.2">
      <c r="A8" s="3" t="s">
        <v>4</v>
      </c>
      <c r="C8" s="3">
        <f>+D4</f>
        <v>3.5937000000000001</v>
      </c>
    </row>
    <row r="9" spans="1:12" s="3" customFormat="1" ht="12.95" customHeight="1" x14ac:dyDescent="0.2">
      <c r="A9" s="5" t="s">
        <v>31</v>
      </c>
      <c r="C9" s="9">
        <v>-9.5</v>
      </c>
      <c r="D9" s="3" t="s">
        <v>32</v>
      </c>
    </row>
    <row r="10" spans="1:12" s="3" customFormat="1" ht="12.95" customHeight="1" thickBot="1" x14ac:dyDescent="0.25">
      <c r="C10" s="10" t="s">
        <v>20</v>
      </c>
      <c r="D10" s="10" t="s">
        <v>21</v>
      </c>
    </row>
    <row r="11" spans="1:12" s="3" customFormat="1" ht="12.95" customHeight="1" x14ac:dyDescent="0.2">
      <c r="A11" s="3" t="s">
        <v>16</v>
      </c>
      <c r="C11" s="11">
        <f ca="1">INTERCEPT(INDIRECT($G$11):G992,INDIRECT($F$11):F992)</f>
        <v>1.4206522637320515E-4</v>
      </c>
      <c r="D11" s="12"/>
      <c r="F11" s="13" t="str">
        <f>"F"&amp;E19</f>
        <v>F21</v>
      </c>
      <c r="G11" s="11" t="str">
        <f>"G"&amp;E19</f>
        <v>G21</v>
      </c>
    </row>
    <row r="12" spans="1:12" s="3" customFormat="1" ht="12.95" customHeight="1" x14ac:dyDescent="0.2">
      <c r="A12" s="3" t="s">
        <v>17</v>
      </c>
      <c r="C12" s="11">
        <f ca="1">SLOPE(INDIRECT($G$11):G992,INDIRECT($F$11):F992)</f>
        <v>-1.6956297292688824E-5</v>
      </c>
      <c r="D12" s="12"/>
    </row>
    <row r="13" spans="1:12" s="3" customFormat="1" ht="12.95" customHeight="1" x14ac:dyDescent="0.2">
      <c r="A13" s="3" t="s">
        <v>19</v>
      </c>
      <c r="C13" s="12" t="s">
        <v>14</v>
      </c>
      <c r="D13" s="12"/>
    </row>
    <row r="14" spans="1:12" s="3" customFormat="1" ht="12.95" customHeight="1" x14ac:dyDescent="0.2"/>
    <row r="15" spans="1:12" s="3" customFormat="1" ht="12.95" customHeight="1" x14ac:dyDescent="0.2">
      <c r="A15" s="14" t="s">
        <v>18</v>
      </c>
      <c r="C15" s="15">
        <f ca="1">(C7+C11)+(C8+C12)*INT(MAX(F21:F3533))</f>
        <v>58416.321337892892</v>
      </c>
      <c r="D15" s="16" t="s">
        <v>33</v>
      </c>
      <c r="E15" s="17">
        <f ca="1">TODAY()+15018.5-B9/24</f>
        <v>60371.5</v>
      </c>
    </row>
    <row r="16" spans="1:12" s="3" customFormat="1" ht="12.95" customHeight="1" x14ac:dyDescent="0.2">
      <c r="A16" s="8" t="s">
        <v>5</v>
      </c>
      <c r="C16" s="18">
        <f ca="1">+C8+C12</f>
        <v>3.5936830437027076</v>
      </c>
      <c r="D16" s="16" t="s">
        <v>34</v>
      </c>
      <c r="E16" s="17">
        <f ca="1">ROUND(2*(E15-C15)/C16,0)/2+1</f>
        <v>545</v>
      </c>
    </row>
    <row r="17" spans="1:18" s="3" customFormat="1" ht="12.95" customHeight="1" thickBot="1" x14ac:dyDescent="0.25">
      <c r="A17" s="16" t="s">
        <v>30</v>
      </c>
      <c r="C17" s="3">
        <f>COUNT(C21:C2191)</f>
        <v>3</v>
      </c>
      <c r="D17" s="16" t="s">
        <v>35</v>
      </c>
      <c r="E17" s="19">
        <f ca="1">+C15+C16*E16-15018.5-C9/24</f>
        <v>45356.774430044206</v>
      </c>
    </row>
    <row r="18" spans="1:18" s="3" customFormat="1" ht="12.95" customHeight="1" thickTop="1" thickBot="1" x14ac:dyDescent="0.25">
      <c r="A18" s="8" t="s">
        <v>6</v>
      </c>
      <c r="C18" s="20">
        <f ca="1">+C15</f>
        <v>58416.321337892892</v>
      </c>
      <c r="D18" s="21">
        <f ca="1">+C16</f>
        <v>3.5936830437027076</v>
      </c>
      <c r="E18" s="22" t="s">
        <v>36</v>
      </c>
    </row>
    <row r="19" spans="1:18" s="3" customFormat="1" ht="12.95" customHeight="1" thickTop="1" x14ac:dyDescent="0.2">
      <c r="A19" s="23" t="s">
        <v>37</v>
      </c>
      <c r="E19" s="24">
        <v>21</v>
      </c>
    </row>
    <row r="20" spans="1:18" s="3" customFormat="1" ht="12.95" customHeight="1" thickBot="1" x14ac:dyDescent="0.25">
      <c r="A20" s="10" t="s">
        <v>7</v>
      </c>
      <c r="B20" s="10" t="s">
        <v>8</v>
      </c>
      <c r="C20" s="10" t="s">
        <v>9</v>
      </c>
      <c r="D20" s="10" t="s">
        <v>13</v>
      </c>
      <c r="E20" s="10" t="s">
        <v>10</v>
      </c>
      <c r="F20" s="10" t="s">
        <v>11</v>
      </c>
      <c r="G20" s="10" t="s">
        <v>12</v>
      </c>
      <c r="H20" s="25" t="s">
        <v>29</v>
      </c>
      <c r="I20" s="25" t="s">
        <v>44</v>
      </c>
      <c r="J20" s="25" t="s">
        <v>45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0" t="s">
        <v>15</v>
      </c>
    </row>
    <row r="21" spans="1:18" s="3" customFormat="1" ht="12.95" customHeight="1" x14ac:dyDescent="0.2">
      <c r="A21" s="3" t="str">
        <f>$K$1</f>
        <v>IBVS 5557</v>
      </c>
      <c r="C21" s="4">
        <f>+$C$4</f>
        <v>48645.097000000002</v>
      </c>
      <c r="D21" s="4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1.4206522637320515E-4</v>
      </c>
      <c r="Q21" s="27">
        <f>+C21-15018.5</f>
        <v>33626.597000000002</v>
      </c>
    </row>
    <row r="22" spans="1:18" s="3" customFormat="1" ht="12.95" customHeight="1" x14ac:dyDescent="0.2">
      <c r="A22" s="28" t="s">
        <v>0</v>
      </c>
      <c r="B22" s="29" t="s">
        <v>1</v>
      </c>
      <c r="C22" s="30">
        <v>58017.425999999999</v>
      </c>
      <c r="D22" s="30">
        <v>0.01</v>
      </c>
      <c r="E22" s="3">
        <f>+(C22-C$7)/C$8</f>
        <v>2607.9887024515119</v>
      </c>
      <c r="F22" s="3">
        <f>ROUND(2*E22,0)/2</f>
        <v>2608</v>
      </c>
      <c r="G22" s="3">
        <f>+C22-(C$7+F22*C$8)</f>
        <v>-4.0600000000267755E-2</v>
      </c>
      <c r="I22" s="3">
        <f>+G22</f>
        <v>-4.0600000000267755E-2</v>
      </c>
      <c r="O22" s="3">
        <f ca="1">+C$11+C$12*$F22</f>
        <v>-4.4079958112959242E-2</v>
      </c>
      <c r="Q22" s="27">
        <f>+C22-15018.5</f>
        <v>42998.925999999999</v>
      </c>
      <c r="R22" s="3" t="str">
        <f>IF(ABS(C22-C21)&lt;0.00001,1,"")</f>
        <v/>
      </c>
    </row>
    <row r="23" spans="1:18" s="3" customFormat="1" ht="12.95" customHeight="1" x14ac:dyDescent="0.2">
      <c r="A23" s="28" t="s">
        <v>0</v>
      </c>
      <c r="B23" s="29" t="s">
        <v>1</v>
      </c>
      <c r="C23" s="30">
        <v>58416.317999999999</v>
      </c>
      <c r="D23" s="30">
        <v>0.01</v>
      </c>
      <c r="E23" s="3">
        <f>+(C23-C$7)/C$8</f>
        <v>2718.9862815482643</v>
      </c>
      <c r="F23" s="3">
        <f>ROUND(2*E23,0)/2</f>
        <v>2719</v>
      </c>
      <c r="G23" s="3">
        <f>+C23-(C$7+F23*C$8)</f>
        <v>-4.9299999998765998E-2</v>
      </c>
      <c r="I23" s="3">
        <f>+G23</f>
        <v>-4.9299999998765998E-2</v>
      </c>
      <c r="O23" s="3">
        <f ca="1">+C$11+C$12*$F23</f>
        <v>-4.5962107112447706E-2</v>
      </c>
      <c r="Q23" s="27">
        <f>+C23-15018.5</f>
        <v>43397.817999999999</v>
      </c>
    </row>
    <row r="24" spans="1:18" s="3" customFormat="1" ht="12.95" customHeight="1" x14ac:dyDescent="0.2">
      <c r="Q24" s="27"/>
    </row>
    <row r="25" spans="1:18" s="3" customFormat="1" ht="12.95" customHeight="1" x14ac:dyDescent="0.2">
      <c r="C25" s="4"/>
      <c r="D25" s="4"/>
      <c r="Q25" s="27"/>
    </row>
    <row r="26" spans="1:18" s="3" customFormat="1" ht="12.95" customHeight="1" x14ac:dyDescent="0.2">
      <c r="C26" s="4"/>
      <c r="D26" s="4"/>
      <c r="Q26" s="27"/>
    </row>
    <row r="27" spans="1:18" s="3" customFormat="1" ht="12.95" customHeight="1" x14ac:dyDescent="0.2">
      <c r="C27" s="4"/>
      <c r="D27" s="4"/>
      <c r="Q27" s="27"/>
    </row>
    <row r="28" spans="1:18" s="3" customFormat="1" ht="12.95" customHeight="1" x14ac:dyDescent="0.2">
      <c r="C28" s="4"/>
      <c r="D28" s="4"/>
      <c r="Q28" s="27"/>
    </row>
    <row r="29" spans="1:18" s="3" customFormat="1" ht="12.95" customHeight="1" x14ac:dyDescent="0.2">
      <c r="C29" s="4"/>
      <c r="D29" s="4"/>
      <c r="Q29" s="27"/>
    </row>
    <row r="30" spans="1:18" s="3" customFormat="1" ht="12.95" customHeight="1" x14ac:dyDescent="0.2">
      <c r="C30" s="4"/>
      <c r="D30" s="4"/>
      <c r="Q30" s="27"/>
    </row>
    <row r="31" spans="1:18" s="3" customFormat="1" ht="12.95" customHeight="1" x14ac:dyDescent="0.2">
      <c r="C31" s="4"/>
      <c r="D31" s="4"/>
      <c r="Q31" s="27"/>
    </row>
    <row r="32" spans="1:18" s="3" customFormat="1" ht="12.95" customHeight="1" x14ac:dyDescent="0.2">
      <c r="C32" s="4"/>
      <c r="D32" s="4"/>
      <c r="Q32" s="27"/>
    </row>
    <row r="33" spans="3:17" s="3" customFormat="1" ht="12.95" customHeight="1" x14ac:dyDescent="0.2">
      <c r="C33" s="4"/>
      <c r="D33" s="4"/>
      <c r="Q33" s="27"/>
    </row>
    <row r="34" spans="3:17" s="3" customFormat="1" ht="12.95" customHeight="1" x14ac:dyDescent="0.2">
      <c r="C34" s="4"/>
      <c r="D34" s="4"/>
    </row>
    <row r="35" spans="3:17" s="3" customFormat="1" ht="12.95" customHeight="1" x14ac:dyDescent="0.2">
      <c r="C35" s="4"/>
      <c r="D35" s="4"/>
    </row>
    <row r="36" spans="3:17" s="3" customFormat="1" ht="12.95" customHeight="1" x14ac:dyDescent="0.2">
      <c r="C36" s="4"/>
      <c r="D36" s="4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hyperlinks>
    <hyperlink ref="H63422" r:id="rId1" display="http://vsolj.cetus-net.org/bulletin.html"/>
    <hyperlink ref="H63415" r:id="rId2" display="https://www.aavso.org/ejaavso"/>
    <hyperlink ref="AP273" r:id="rId3" display="http://cdsbib.u-strasbg.fr/cgi-bin/cdsbib?1990RMxAA..21..381G"/>
    <hyperlink ref="AP270" r:id="rId4" display="http://cdsbib.u-strasbg.fr/cgi-bin/cdsbib?1990RMxAA..21..381G"/>
    <hyperlink ref="AP272" r:id="rId5" display="http://cdsbib.u-strasbg.fr/cgi-bin/cdsbib?1990RMxAA..21..381G"/>
    <hyperlink ref="AP248" r:id="rId6" display="http://cdsbib.u-strasbg.fr/cgi-bin/cdsbib?1990RMxAA..21..381G"/>
    <hyperlink ref="I63422" r:id="rId7" display="http://vsolj.cetus-net.org/bulletin.html"/>
    <hyperlink ref="AQ409" r:id="rId8" display="http://cdsbib.u-strasbg.fr/cgi-bin/cdsbib?1990RMxAA..21..381G"/>
    <hyperlink ref="AQ2053" r:id="rId9" display="http://cdsbib.u-strasbg.fr/cgi-bin/cdsbib?1990RMxAA..21..381G"/>
    <hyperlink ref="AQ410" r:id="rId10" display="http://cdsbib.u-strasbg.fr/cgi-bin/cdsbib?1990RMxAA..21..381G"/>
    <hyperlink ref="H63419" r:id="rId11" display="https://www.aavso.org/ejaavso"/>
    <hyperlink ref="H1260" r:id="rId12" display="http://vsolj.cetus-net.org/bulletin.html"/>
    <hyperlink ref="AP4498" r:id="rId13" display="http://cdsbib.u-strasbg.fr/cgi-bin/cdsbib?1990RMxAA..21..381G"/>
    <hyperlink ref="AP4501" r:id="rId14" display="http://cdsbib.u-strasbg.fr/cgi-bin/cdsbib?1990RMxAA..21..381G"/>
    <hyperlink ref="AP4499" r:id="rId15" display="http://cdsbib.u-strasbg.fr/cgi-bin/cdsbib?1990RMxAA..21..381G"/>
    <hyperlink ref="AP4477" r:id="rId16" display="http://cdsbib.u-strasbg.fr/cgi-bin/cdsbib?1990RMxAA..21..381G"/>
    <hyperlink ref="I1260" r:id="rId17" display="http://vsolj.cetus-net.org/bulletin.html"/>
    <hyperlink ref="AQ4611" r:id="rId18" display="http://cdsbib.u-strasbg.fr/cgi-bin/cdsbib?1990RMxAA..21..381G"/>
    <hyperlink ref="AQ64699" r:id="rId19" display="http://cdsbib.u-strasbg.fr/cgi-bin/cdsbib?1990RMxAA..21..381G"/>
    <hyperlink ref="AQ461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2024-03-02T05:32:38Z</dcterms:modified>
</cp:coreProperties>
</file>