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ABD1F0F-C668-43E1-B64C-D050BFE567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E81" i="3" l="1"/>
  <c r="F81" i="3" s="1"/>
  <c r="G81" i="3" s="1"/>
  <c r="K81" i="3" s="1"/>
  <c r="Q81" i="3"/>
  <c r="E82" i="3"/>
  <c r="F82" i="3"/>
  <c r="G82" i="3" s="1"/>
  <c r="K82" i="3" s="1"/>
  <c r="Q82" i="3"/>
  <c r="E83" i="3"/>
  <c r="F83" i="3"/>
  <c r="G83" i="3"/>
  <c r="K83" i="3"/>
  <c r="Q83" i="3"/>
  <c r="E84" i="3"/>
  <c r="F84" i="3"/>
  <c r="G84" i="3" s="1"/>
  <c r="K84" i="3" s="1"/>
  <c r="Q84" i="3"/>
  <c r="E85" i="3"/>
  <c r="F85" i="3" s="1"/>
  <c r="G85" i="3" s="1"/>
  <c r="K85" i="3" s="1"/>
  <c r="Q85" i="3"/>
  <c r="C9" i="3"/>
  <c r="D9" i="3"/>
  <c r="F16" i="3"/>
  <c r="F17" i="3" s="1"/>
  <c r="C17" i="3"/>
  <c r="E21" i="3"/>
  <c r="F21" i="3"/>
  <c r="G21" i="3"/>
  <c r="J21" i="3"/>
  <c r="Q21" i="3"/>
  <c r="E22" i="3"/>
  <c r="F22" i="3"/>
  <c r="G22" i="3"/>
  <c r="J22" i="3"/>
  <c r="Q22" i="3"/>
  <c r="E23" i="3"/>
  <c r="F23" i="3"/>
  <c r="G23" i="3"/>
  <c r="J23" i="3"/>
  <c r="Q23" i="3"/>
  <c r="E24" i="3"/>
  <c r="F24" i="3"/>
  <c r="G24" i="3"/>
  <c r="J24" i="3"/>
  <c r="Q24" i="3"/>
  <c r="E25" i="3"/>
  <c r="F25" i="3"/>
  <c r="G25" i="3"/>
  <c r="J25" i="3"/>
  <c r="Q25" i="3"/>
  <c r="E26" i="3"/>
  <c r="F26" i="3"/>
  <c r="G26" i="3"/>
  <c r="J26" i="3"/>
  <c r="Q26" i="3"/>
  <c r="E27" i="3"/>
  <c r="F27" i="3"/>
  <c r="G27" i="3"/>
  <c r="J27" i="3"/>
  <c r="Q27" i="3"/>
  <c r="E28" i="3"/>
  <c r="F28" i="3"/>
  <c r="G28" i="3"/>
  <c r="J28" i="3"/>
  <c r="Q28" i="3"/>
  <c r="E29" i="3"/>
  <c r="F29" i="3"/>
  <c r="G29" i="3"/>
  <c r="J29" i="3"/>
  <c r="Q29" i="3"/>
  <c r="E30" i="3"/>
  <c r="F30" i="3"/>
  <c r="G30" i="3"/>
  <c r="J30" i="3"/>
  <c r="Q30" i="3"/>
  <c r="E31" i="3"/>
  <c r="F31" i="3"/>
  <c r="G31" i="3"/>
  <c r="J31" i="3"/>
  <c r="Q31" i="3"/>
  <c r="E32" i="3"/>
  <c r="F32" i="3"/>
  <c r="G32" i="3"/>
  <c r="J32" i="3"/>
  <c r="Q32" i="3"/>
  <c r="E33" i="3"/>
  <c r="F33" i="3"/>
  <c r="G33" i="3"/>
  <c r="J33" i="3"/>
  <c r="Q33" i="3"/>
  <c r="E34" i="3"/>
  <c r="F34" i="3"/>
  <c r="G34" i="3"/>
  <c r="J34" i="3"/>
  <c r="Q34" i="3"/>
  <c r="E35" i="3"/>
  <c r="F35" i="3"/>
  <c r="G35" i="3"/>
  <c r="J35" i="3"/>
  <c r="Q35" i="3"/>
  <c r="E36" i="3"/>
  <c r="F36" i="3"/>
  <c r="G36" i="3"/>
  <c r="J36" i="3"/>
  <c r="Q36" i="3"/>
  <c r="E37" i="3"/>
  <c r="F37" i="3"/>
  <c r="G37" i="3"/>
  <c r="J37" i="3"/>
  <c r="Q37" i="3"/>
  <c r="E38" i="3"/>
  <c r="F38" i="3"/>
  <c r="G38" i="3"/>
  <c r="J38" i="3"/>
  <c r="Q38" i="3"/>
  <c r="E39" i="3"/>
  <c r="F39" i="3"/>
  <c r="G39" i="3"/>
  <c r="J39" i="3"/>
  <c r="Q39" i="3"/>
  <c r="E40" i="3"/>
  <c r="F40" i="3"/>
  <c r="G40" i="3"/>
  <c r="K40" i="3"/>
  <c r="Q40" i="3"/>
  <c r="E41" i="3"/>
  <c r="F41" i="3"/>
  <c r="G41" i="3"/>
  <c r="K41" i="3"/>
  <c r="Q41" i="3"/>
  <c r="E42" i="3"/>
  <c r="F42" i="3"/>
  <c r="G42" i="3"/>
  <c r="K42" i="3"/>
  <c r="Q42" i="3"/>
  <c r="E43" i="3"/>
  <c r="F43" i="3"/>
  <c r="G43" i="3"/>
  <c r="J43" i="3"/>
  <c r="Q43" i="3"/>
  <c r="E44" i="3"/>
  <c r="F44" i="3"/>
  <c r="G44" i="3"/>
  <c r="K44" i="3"/>
  <c r="Q44" i="3"/>
  <c r="E45" i="3"/>
  <c r="F45" i="3"/>
  <c r="G45" i="3"/>
  <c r="K45" i="3"/>
  <c r="Q45" i="3"/>
  <c r="E46" i="3"/>
  <c r="F46" i="3"/>
  <c r="G46" i="3"/>
  <c r="J46" i="3"/>
  <c r="Q46" i="3"/>
  <c r="E47" i="3"/>
  <c r="F47" i="3"/>
  <c r="G47" i="3"/>
  <c r="K47" i="3"/>
  <c r="Q47" i="3"/>
  <c r="E48" i="3"/>
  <c r="F48" i="3"/>
  <c r="G48" i="3"/>
  <c r="K48" i="3"/>
  <c r="Q48" i="3"/>
  <c r="E49" i="3"/>
  <c r="F49" i="3"/>
  <c r="G49" i="3"/>
  <c r="K49" i="3"/>
  <c r="Q49" i="3"/>
  <c r="E50" i="3"/>
  <c r="F50" i="3"/>
  <c r="G50" i="3"/>
  <c r="K50" i="3"/>
  <c r="Q50" i="3"/>
  <c r="E51" i="3"/>
  <c r="F51" i="3"/>
  <c r="G51" i="3"/>
  <c r="K51" i="3"/>
  <c r="Q51" i="3"/>
  <c r="E52" i="3"/>
  <c r="F52" i="3"/>
  <c r="G52" i="3"/>
  <c r="K52" i="3"/>
  <c r="Q52" i="3"/>
  <c r="E53" i="3"/>
  <c r="F53" i="3"/>
  <c r="G53" i="3"/>
  <c r="K53" i="3"/>
  <c r="Q53" i="3"/>
  <c r="E54" i="3"/>
  <c r="F54" i="3"/>
  <c r="G54" i="3"/>
  <c r="K54" i="3"/>
  <c r="Q54" i="3"/>
  <c r="E55" i="3"/>
  <c r="F55" i="3"/>
  <c r="G55" i="3"/>
  <c r="K55" i="3"/>
  <c r="Q55" i="3"/>
  <c r="E56" i="3"/>
  <c r="F56" i="3"/>
  <c r="G56" i="3"/>
  <c r="K56" i="3"/>
  <c r="Q56" i="3"/>
  <c r="E57" i="3"/>
  <c r="F57" i="3"/>
  <c r="G57" i="3"/>
  <c r="J57" i="3"/>
  <c r="Q57" i="3"/>
  <c r="E58" i="3"/>
  <c r="F58" i="3"/>
  <c r="G58" i="3"/>
  <c r="J58" i="3"/>
  <c r="Q58" i="3"/>
  <c r="E59" i="3"/>
  <c r="F59" i="3"/>
  <c r="G59" i="3"/>
  <c r="J59" i="3"/>
  <c r="Q59" i="3"/>
  <c r="E60" i="3"/>
  <c r="F60" i="3"/>
  <c r="G60" i="3"/>
  <c r="J60" i="3"/>
  <c r="Q60" i="3"/>
  <c r="E61" i="3"/>
  <c r="F61" i="3"/>
  <c r="G61" i="3"/>
  <c r="J61" i="3"/>
  <c r="Q61" i="3"/>
  <c r="E62" i="3"/>
  <c r="F62" i="3"/>
  <c r="G62" i="3"/>
  <c r="K62" i="3"/>
  <c r="Q62" i="3"/>
  <c r="E63" i="3"/>
  <c r="F63" i="3"/>
  <c r="G63" i="3"/>
  <c r="K63" i="3"/>
  <c r="Q63" i="3"/>
  <c r="E64" i="3"/>
  <c r="F64" i="3"/>
  <c r="G64" i="3"/>
  <c r="K64" i="3"/>
  <c r="Q64" i="3"/>
  <c r="E65" i="3"/>
  <c r="F65" i="3"/>
  <c r="G65" i="3"/>
  <c r="J65" i="3"/>
  <c r="Q65" i="3"/>
  <c r="E66" i="3"/>
  <c r="F66" i="3"/>
  <c r="G66" i="3"/>
  <c r="K66" i="3"/>
  <c r="Q66" i="3"/>
  <c r="E67" i="3"/>
  <c r="F67" i="3"/>
  <c r="G67" i="3"/>
  <c r="K67" i="3"/>
  <c r="Q67" i="3"/>
  <c r="E68" i="3"/>
  <c r="F68" i="3"/>
  <c r="G68" i="3"/>
  <c r="K68" i="3"/>
  <c r="Q68" i="3"/>
  <c r="E69" i="3"/>
  <c r="F69" i="3"/>
  <c r="G69" i="3"/>
  <c r="K69" i="3"/>
  <c r="Q69" i="3"/>
  <c r="E70" i="3"/>
  <c r="F70" i="3"/>
  <c r="G70" i="3"/>
  <c r="K70" i="3"/>
  <c r="Q70" i="3"/>
  <c r="E71" i="3"/>
  <c r="F71" i="3"/>
  <c r="G71" i="3"/>
  <c r="K71" i="3"/>
  <c r="Q71" i="3"/>
  <c r="E72" i="3"/>
  <c r="F72" i="3"/>
  <c r="G72" i="3"/>
  <c r="J72" i="3"/>
  <c r="Q72" i="3"/>
  <c r="E73" i="3"/>
  <c r="F73" i="3"/>
  <c r="G73" i="3"/>
  <c r="K73" i="3"/>
  <c r="Q73" i="3"/>
  <c r="E74" i="3"/>
  <c r="F74" i="3"/>
  <c r="G74" i="3"/>
  <c r="K74" i="3"/>
  <c r="Q74" i="3"/>
  <c r="E75" i="3"/>
  <c r="F75" i="3"/>
  <c r="G75" i="3"/>
  <c r="K75" i="3"/>
  <c r="Q75" i="3"/>
  <c r="E76" i="3"/>
  <c r="F76" i="3"/>
  <c r="G76" i="3"/>
  <c r="K76" i="3"/>
  <c r="Q76" i="3"/>
  <c r="E77" i="3"/>
  <c r="F77" i="3"/>
  <c r="G77" i="3"/>
  <c r="K77" i="3"/>
  <c r="Q77" i="3"/>
  <c r="E78" i="3"/>
  <c r="F78" i="3"/>
  <c r="G78" i="3"/>
  <c r="K78" i="3"/>
  <c r="Q78" i="3"/>
  <c r="E79" i="3"/>
  <c r="F79" i="3"/>
  <c r="G79" i="3"/>
  <c r="K79" i="3"/>
  <c r="Q79" i="3"/>
  <c r="E80" i="3"/>
  <c r="F80" i="3"/>
  <c r="G80" i="3"/>
  <c r="K80" i="3"/>
  <c r="Q80" i="3"/>
  <c r="C19" i="1"/>
  <c r="E21" i="1"/>
  <c r="F21" i="1"/>
  <c r="G21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33" i="1"/>
  <c r="F33" i="1"/>
  <c r="G33" i="1"/>
  <c r="I33" i="1"/>
  <c r="Q33" i="1"/>
  <c r="E34" i="1"/>
  <c r="F34" i="1"/>
  <c r="G34" i="1"/>
  <c r="I34" i="1"/>
  <c r="Q34" i="1"/>
  <c r="E35" i="1"/>
  <c r="F35" i="1"/>
  <c r="G35" i="1"/>
  <c r="I35" i="1"/>
  <c r="Q35" i="1"/>
  <c r="E36" i="1"/>
  <c r="F36" i="1"/>
  <c r="G36" i="1"/>
  <c r="I36" i="1"/>
  <c r="Q36" i="1"/>
  <c r="A11" i="2"/>
  <c r="B11" i="2"/>
  <c r="C11" i="2"/>
  <c r="E11" i="2"/>
  <c r="D11" i="2"/>
  <c r="G11" i="2"/>
  <c r="H11" i="2"/>
  <c r="A12" i="2"/>
  <c r="B12" i="2"/>
  <c r="C12" i="2"/>
  <c r="D12" i="2"/>
  <c r="E12" i="2"/>
  <c r="G12" i="2"/>
  <c r="H12" i="2"/>
  <c r="A13" i="2"/>
  <c r="B13" i="2"/>
  <c r="D13" i="2"/>
  <c r="G13" i="2"/>
  <c r="C13" i="2"/>
  <c r="E13" i="2"/>
  <c r="H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B17" i="2"/>
  <c r="D17" i="2"/>
  <c r="G17" i="2"/>
  <c r="C17" i="2"/>
  <c r="E17" i="2"/>
  <c r="H17" i="2"/>
  <c r="A18" i="2"/>
  <c r="B18" i="2"/>
  <c r="C18" i="2"/>
  <c r="E18" i="2"/>
  <c r="D18" i="2"/>
  <c r="G18" i="2"/>
  <c r="H18" i="2"/>
  <c r="A19" i="2"/>
  <c r="B19" i="2"/>
  <c r="C19" i="2"/>
  <c r="E19" i="2"/>
  <c r="D19" i="2"/>
  <c r="G19" i="2"/>
  <c r="H19" i="2"/>
  <c r="A20" i="2"/>
  <c r="B20" i="2"/>
  <c r="C20" i="2"/>
  <c r="D20" i="2"/>
  <c r="E20" i="2"/>
  <c r="G20" i="2"/>
  <c r="H20" i="2"/>
  <c r="A21" i="2"/>
  <c r="B21" i="2"/>
  <c r="D21" i="2"/>
  <c r="G21" i="2"/>
  <c r="C21" i="2"/>
  <c r="E21" i="2"/>
  <c r="H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E24" i="2"/>
  <c r="H24" i="2"/>
  <c r="B24" i="2"/>
  <c r="A25" i="2"/>
  <c r="B25" i="2"/>
  <c r="D25" i="2"/>
  <c r="G25" i="2"/>
  <c r="C25" i="2"/>
  <c r="E25" i="2"/>
  <c r="H25" i="2"/>
  <c r="A26" i="2"/>
  <c r="B26" i="2"/>
  <c r="C26" i="2"/>
  <c r="E26" i="2"/>
  <c r="D26" i="2"/>
  <c r="G26" i="2"/>
  <c r="H26" i="2"/>
  <c r="A27" i="2"/>
  <c r="B27" i="2"/>
  <c r="C27" i="2"/>
  <c r="E27" i="2"/>
  <c r="D27" i="2"/>
  <c r="G27" i="2"/>
  <c r="H27" i="2"/>
  <c r="A28" i="2"/>
  <c r="B28" i="2"/>
  <c r="C28" i="2"/>
  <c r="D28" i="2"/>
  <c r="E28" i="2"/>
  <c r="G28" i="2"/>
  <c r="H28" i="2"/>
  <c r="A29" i="2"/>
  <c r="B29" i="2"/>
  <c r="D29" i="2"/>
  <c r="G29" i="2"/>
  <c r="C29" i="2"/>
  <c r="E29" i="2"/>
  <c r="H29" i="2"/>
  <c r="A30" i="2"/>
  <c r="D30" i="2"/>
  <c r="G30" i="2"/>
  <c r="C30" i="2"/>
  <c r="E30" i="2"/>
  <c r="H30" i="2"/>
  <c r="B30" i="2"/>
  <c r="A31" i="2"/>
  <c r="D31" i="2"/>
  <c r="G31" i="2"/>
  <c r="C31" i="2"/>
  <c r="E31" i="2"/>
  <c r="H31" i="2"/>
  <c r="B31" i="2"/>
  <c r="A32" i="2"/>
  <c r="D32" i="2"/>
  <c r="G32" i="2"/>
  <c r="C32" i="2"/>
  <c r="E32" i="2"/>
  <c r="H32" i="2"/>
  <c r="B32" i="2"/>
  <c r="A33" i="2"/>
  <c r="B33" i="2"/>
  <c r="D33" i="2"/>
  <c r="G33" i="2"/>
  <c r="C33" i="2"/>
  <c r="E33" i="2"/>
  <c r="H33" i="2"/>
  <c r="A34" i="2"/>
  <c r="B34" i="2"/>
  <c r="C34" i="2"/>
  <c r="E34" i="2"/>
  <c r="D34" i="2"/>
  <c r="G34" i="2"/>
  <c r="H34" i="2"/>
  <c r="A35" i="2"/>
  <c r="B35" i="2"/>
  <c r="C35" i="2"/>
  <c r="E35" i="2"/>
  <c r="D35" i="2"/>
  <c r="G35" i="2"/>
  <c r="H35" i="2"/>
  <c r="A36" i="2"/>
  <c r="B36" i="2"/>
  <c r="C36" i="2"/>
  <c r="D36" i="2"/>
  <c r="E36" i="2"/>
  <c r="G36" i="2"/>
  <c r="H36" i="2"/>
  <c r="A37" i="2"/>
  <c r="B37" i="2"/>
  <c r="D37" i="2"/>
  <c r="G37" i="2"/>
  <c r="C37" i="2"/>
  <c r="E37" i="2"/>
  <c r="H37" i="2"/>
  <c r="A38" i="2"/>
  <c r="D38" i="2"/>
  <c r="G38" i="2"/>
  <c r="C38" i="2"/>
  <c r="E38" i="2"/>
  <c r="H38" i="2"/>
  <c r="B38" i="2"/>
  <c r="A39" i="2"/>
  <c r="D39" i="2"/>
  <c r="G39" i="2"/>
  <c r="C39" i="2"/>
  <c r="E39" i="2"/>
  <c r="H39" i="2"/>
  <c r="B39" i="2"/>
  <c r="A40" i="2"/>
  <c r="D40" i="2"/>
  <c r="G40" i="2"/>
  <c r="C40" i="2"/>
  <c r="E40" i="2"/>
  <c r="H40" i="2"/>
  <c r="B40" i="2"/>
  <c r="A41" i="2"/>
  <c r="B41" i="2"/>
  <c r="D41" i="2"/>
  <c r="G41" i="2"/>
  <c r="C41" i="2"/>
  <c r="E41" i="2"/>
  <c r="H41" i="2"/>
  <c r="A42" i="2"/>
  <c r="B42" i="2"/>
  <c r="C42" i="2"/>
  <c r="E42" i="2"/>
  <c r="D42" i="2"/>
  <c r="G42" i="2"/>
  <c r="H42" i="2"/>
  <c r="A43" i="2"/>
  <c r="B43" i="2"/>
  <c r="C43" i="2"/>
  <c r="E43" i="2"/>
  <c r="D43" i="2"/>
  <c r="G43" i="2"/>
  <c r="H43" i="2"/>
  <c r="A44" i="2"/>
  <c r="B44" i="2"/>
  <c r="C44" i="2"/>
  <c r="D44" i="2"/>
  <c r="E44" i="2"/>
  <c r="G44" i="2"/>
  <c r="H44" i="2"/>
  <c r="A45" i="2"/>
  <c r="B45" i="2"/>
  <c r="D45" i="2"/>
  <c r="G45" i="2"/>
  <c r="C45" i="2"/>
  <c r="E45" i="2"/>
  <c r="H45" i="2"/>
  <c r="A46" i="2"/>
  <c r="D46" i="2"/>
  <c r="G46" i="2"/>
  <c r="C46" i="2"/>
  <c r="E46" i="2"/>
  <c r="H46" i="2"/>
  <c r="B46" i="2"/>
  <c r="A47" i="2"/>
  <c r="D47" i="2"/>
  <c r="G47" i="2"/>
  <c r="C47" i="2"/>
  <c r="E47" i="2"/>
  <c r="H47" i="2"/>
  <c r="B47" i="2"/>
  <c r="A48" i="2"/>
  <c r="D48" i="2"/>
  <c r="G48" i="2"/>
  <c r="C48" i="2"/>
  <c r="E48" i="2"/>
  <c r="H48" i="2"/>
  <c r="B48" i="2"/>
  <c r="A49" i="2"/>
  <c r="B49" i="2"/>
  <c r="D49" i="2"/>
  <c r="G49" i="2"/>
  <c r="C49" i="2"/>
  <c r="E49" i="2"/>
  <c r="H49" i="2"/>
  <c r="A50" i="2"/>
  <c r="B50" i="2"/>
  <c r="C50" i="2"/>
  <c r="E50" i="2"/>
  <c r="D50" i="2"/>
  <c r="G50" i="2"/>
  <c r="H50" i="2"/>
  <c r="A51" i="2"/>
  <c r="B51" i="2"/>
  <c r="C51" i="2"/>
  <c r="E51" i="2"/>
  <c r="D51" i="2"/>
  <c r="G51" i="2"/>
  <c r="H51" i="2"/>
  <c r="A52" i="2"/>
  <c r="B52" i="2"/>
  <c r="C52" i="2"/>
  <c r="D52" i="2"/>
  <c r="E52" i="2"/>
  <c r="G52" i="2"/>
  <c r="H52" i="2"/>
  <c r="A53" i="2"/>
  <c r="B53" i="2"/>
  <c r="D53" i="2"/>
  <c r="G53" i="2"/>
  <c r="C53" i="2"/>
  <c r="E53" i="2"/>
  <c r="H53" i="2"/>
  <c r="I21" i="1"/>
  <c r="C11" i="1"/>
  <c r="C12" i="1"/>
  <c r="C16" i="1"/>
  <c r="D18" i="1"/>
  <c r="O21" i="1"/>
  <c r="O25" i="1"/>
  <c r="O29" i="1"/>
  <c r="O33" i="1"/>
  <c r="O27" i="1"/>
  <c r="O31" i="1"/>
  <c r="O24" i="1"/>
  <c r="O28" i="1"/>
  <c r="O32" i="1"/>
  <c r="O36" i="1"/>
  <c r="O35" i="1"/>
  <c r="O23" i="1"/>
  <c r="C15" i="1"/>
  <c r="C18" i="1"/>
  <c r="O22" i="1"/>
  <c r="O26" i="1"/>
  <c r="O30" i="1"/>
  <c r="O34" i="1"/>
  <c r="C11" i="3"/>
  <c r="C12" i="3"/>
  <c r="O83" i="3" l="1"/>
  <c r="O82" i="3"/>
  <c r="O81" i="3"/>
  <c r="O85" i="3"/>
  <c r="O84" i="3"/>
  <c r="C16" i="3"/>
  <c r="D18" i="3" s="1"/>
  <c r="O32" i="3"/>
  <c r="O49" i="3"/>
  <c r="O53" i="3"/>
  <c r="O57" i="3"/>
  <c r="O61" i="3"/>
  <c r="O24" i="3"/>
  <c r="O75" i="3"/>
  <c r="O60" i="3"/>
  <c r="O64" i="3"/>
  <c r="O26" i="3"/>
  <c r="O30" i="3"/>
  <c r="C15" i="3"/>
  <c r="O38" i="3"/>
  <c r="O56" i="3"/>
  <c r="O70" i="3"/>
  <c r="O50" i="3"/>
  <c r="O43" i="3"/>
  <c r="O40" i="3"/>
  <c r="O44" i="3"/>
  <c r="O48" i="3"/>
  <c r="O52" i="3"/>
  <c r="O34" i="3"/>
  <c r="O77" i="3"/>
  <c r="O39" i="3"/>
  <c r="O79" i="3"/>
  <c r="O73" i="3"/>
  <c r="O45" i="3"/>
  <c r="O72" i="3"/>
  <c r="O76" i="3"/>
  <c r="O80" i="3"/>
  <c r="O22" i="3"/>
  <c r="O35" i="3"/>
  <c r="O68" i="3"/>
  <c r="O71" i="3"/>
  <c r="O33" i="3"/>
  <c r="O36" i="3"/>
  <c r="O54" i="3"/>
  <c r="O23" i="3"/>
  <c r="O27" i="3"/>
  <c r="O31" i="3"/>
  <c r="O67" i="3"/>
  <c r="O47" i="3"/>
  <c r="O46" i="3"/>
  <c r="O51" i="3"/>
  <c r="O55" i="3"/>
  <c r="O59" i="3"/>
  <c r="O63" i="3"/>
  <c r="O41" i="3"/>
  <c r="O37" i="3"/>
  <c r="O66" i="3"/>
  <c r="O74" i="3"/>
  <c r="O62" i="3"/>
  <c r="O69" i="3"/>
  <c r="O42" i="3"/>
  <c r="O78" i="3"/>
  <c r="O21" i="3"/>
  <c r="O25" i="3"/>
  <c r="O29" i="3"/>
  <c r="O65" i="3"/>
  <c r="O58" i="3"/>
  <c r="O28" i="3"/>
  <c r="C18" i="3" l="1"/>
  <c r="F18" i="3"/>
  <c r="F19" i="3" s="1"/>
</calcChain>
</file>

<file path=xl/sharedStrings.xml><?xml version="1.0" encoding="utf-8"?>
<sst xmlns="http://schemas.openxmlformats.org/spreadsheetml/2006/main" count="618" uniqueCount="267">
  <si>
    <t>V357 Peg</t>
  </si>
  <si>
    <t>System Type:</t>
  </si>
  <si>
    <t>GCVS 4 Eph.</t>
  </si>
  <si>
    <t>not avail.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</si>
  <si>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</si>
  <si>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</si>
  <si>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</si>
  <si>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</si>
  <si>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</si>
  <si>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</si>
  <si>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</si>
  <si>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</si>
  <si>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</si>
  <si>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</si>
  <si>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</si>
  <si>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</si>
  <si>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</si>
  <si>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</si>
  <si>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</si>
  <si>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</si>
  <si>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</si>
  <si>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</si>
  <si>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</si>
  <si>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</si>
  <si>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</si>
  <si>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IBVS</t>
  </si>
  <si>
    <t>S3</t>
  </si>
  <si>
    <t>S4</t>
  </si>
  <si>
    <t>S5</t>
  </si>
  <si>
    <t>S6</t>
  </si>
  <si>
    <t>Misc</t>
  </si>
  <si>
    <t>Lin Fit</t>
  </si>
  <si>
    <t>Q. Fit</t>
  </si>
  <si>
    <t>Date</t>
  </si>
  <si>
    <t>IBVS 4855</t>
  </si>
  <si>
    <t>II</t>
  </si>
  <si>
    <t>I</t>
  </si>
  <si>
    <t>IBVS 5407</t>
  </si>
  <si>
    <t>IBVS 5623</t>
  </si>
  <si>
    <t>IBVS 5603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</si>
  <si>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</si>
  <si>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</si>
  <si>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</si>
  <si>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</si>
  <si>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</si>
  <si>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</si>
  <si>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</si>
  <si>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</si>
  <si>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</si>
  <si>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</si>
  <si>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</si>
  <si>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2451465.4520 </t>
  </si>
  <si>
    <t> 13.10.1999 22:50 </t>
  </si>
  <si>
    <t> -0.0031 </t>
  </si>
  <si>
    <t>E </t>
  </si>
  <si>
    <t>R</t>
  </si>
  <si>
    <t> V.Keskin et al. </t>
  </si>
  <si>
    <t>IBVS 4855 </t>
  </si>
  <si>
    <t>2451465.4521 </t>
  </si>
  <si>
    <t> 13.10.1999 22:51 </t>
  </si>
  <si>
    <t> -0.0030 </t>
  </si>
  <si>
    <t>B</t>
  </si>
  <si>
    <t>2451465.4530 </t>
  </si>
  <si>
    <t> 13.10.1999 22:52 </t>
  </si>
  <si>
    <t> -0.0021 </t>
  </si>
  <si>
    <t>G</t>
  </si>
  <si>
    <t>2451489.4591 </t>
  </si>
  <si>
    <t> 06.11.1999 23:01 </t>
  </si>
  <si>
    <t> -0.0017 </t>
  </si>
  <si>
    <t>2451489.4594 </t>
  </si>
  <si>
    <t> -0.0014 </t>
  </si>
  <si>
    <t>2451489.4595 </t>
  </si>
  <si>
    <t> -0.0013 </t>
  </si>
  <si>
    <t>2451510.2804 </t>
  </si>
  <si>
    <t> 27.11.1999 18:43 </t>
  </si>
  <si>
    <t> -0.0046 </t>
  </si>
  <si>
    <t>2451510.2808 </t>
  </si>
  <si>
    <t> 27.11.1999 18:44 </t>
  </si>
  <si>
    <t> -0.0042 </t>
  </si>
  <si>
    <t>2451514.3320 </t>
  </si>
  <si>
    <t> 01.12.1999 19:58 </t>
  </si>
  <si>
    <t> -0.0022 </t>
  </si>
  <si>
    <t>2451514.3321 </t>
  </si>
  <si>
    <t>2451514.3324 </t>
  </si>
  <si>
    <t> -0.0018 </t>
  </si>
  <si>
    <t>2451810.4986 </t>
  </si>
  <si>
    <t> 22.09.2000 23:57 </t>
  </si>
  <si>
    <t> -0.0023 </t>
  </si>
  <si>
    <t>?</t>
  </si>
  <si>
    <t> Alis et al. </t>
  </si>
  <si>
    <t>IBVS 5282 </t>
  </si>
  <si>
    <t>2451812.5233 </t>
  </si>
  <si>
    <t> 25.09.2000 00:33 </t>
  </si>
  <si>
    <t>2451817.4412 </t>
  </si>
  <si>
    <t> 29.09.2000 22:35 </t>
  </si>
  <si>
    <t> -0.0011 </t>
  </si>
  <si>
    <t>2451819.4662 </t>
  </si>
  <si>
    <t> 01.10.2000 23:11 </t>
  </si>
  <si>
    <t> -0.0006 </t>
  </si>
  <si>
    <t>2452526.3326 </t>
  </si>
  <si>
    <t> 08.09.2002 19:58 </t>
  </si>
  <si>
    <t> -0.0009 </t>
  </si>
  <si>
    <t> T.Tanriverdi et al. </t>
  </si>
  <si>
    <t>IBVS 5407 </t>
  </si>
  <si>
    <t>2452931.2500 </t>
  </si>
  <si>
    <t> 18.10.2003 18:00 </t>
  </si>
  <si>
    <t> 0.0011 </t>
  </si>
  <si>
    <t> M.Drozdz et al. </t>
  </si>
  <si>
    <t>IBVS 5623 </t>
  </si>
  <si>
    <t>2452931.5379 </t>
  </si>
  <si>
    <t> 19.10.2003 00:54 </t>
  </si>
  <si>
    <t> -0.0002 </t>
  </si>
  <si>
    <t>2453025.5357 </t>
  </si>
  <si>
    <t> 21.01.2004 00:51 </t>
  </si>
  <si>
    <t> S.Dvorak </t>
  </si>
  <si>
    <t>IBVS 5603 </t>
  </si>
  <si>
    <t>2453266.7474 </t>
  </si>
  <si>
    <t> 18.09.2004 05:56 </t>
  </si>
  <si>
    <t> -0.0028 </t>
  </si>
  <si>
    <t>C </t>
  </si>
  <si>
    <t>-I</t>
  </si>
  <si>
    <t> W.Ogloza et al. </t>
  </si>
  <si>
    <t>IBVS 5843 </t>
  </si>
  <si>
    <t>2453273.6884 </t>
  </si>
  <si>
    <t> 25.09.2004 04:31 </t>
  </si>
  <si>
    <t>1337</t>
  </si>
  <si>
    <t> -0.0033 </t>
  </si>
  <si>
    <t>2453607.4567 </t>
  </si>
  <si>
    <t> 24.08.2005 22:57 </t>
  </si>
  <si>
    <t>1914</t>
  </si>
  <si>
    <t> B.Albayrak et al. </t>
  </si>
  <si>
    <t>IBVS 5649 </t>
  </si>
  <si>
    <t>2454000.5137 </t>
  </si>
  <si>
    <t> 22.09.2006 00:19 </t>
  </si>
  <si>
    <t>2593.5</t>
  </si>
  <si>
    <t> F.Agerer </t>
  </si>
  <si>
    <t>BAVM 183 </t>
  </si>
  <si>
    <t>2454005.4320 </t>
  </si>
  <si>
    <t> 26.09.2006 22:22 </t>
  </si>
  <si>
    <t>2602</t>
  </si>
  <si>
    <t> 0.0003 </t>
  </si>
  <si>
    <t>o</t>
  </si>
  <si>
    <t> S.Parimucha et al. </t>
  </si>
  <si>
    <t>IBVS 5777 </t>
  </si>
  <si>
    <t>2454061.5419 </t>
  </si>
  <si>
    <t> 22.11.2006 01:00 </t>
  </si>
  <si>
    <t>2699</t>
  </si>
  <si>
    <t> 0.0005 </t>
  </si>
  <si>
    <t>ns</t>
  </si>
  <si>
    <t> V.Petriew </t>
  </si>
  <si>
    <t>JAAVSO 36(2);171 </t>
  </si>
  <si>
    <t>2454064.7235 </t>
  </si>
  <si>
    <t> 25.11.2006 05:21 </t>
  </si>
  <si>
    <t>2704.5</t>
  </si>
  <si>
    <t> 0.0007 </t>
  </si>
  <si>
    <t>2454373.326 </t>
  </si>
  <si>
    <t> 29.09.2007 19:49 </t>
  </si>
  <si>
    <t>3238</t>
  </si>
  <si>
    <t> -0.000 </t>
  </si>
  <si>
    <t> G.Marino et al. </t>
  </si>
  <si>
    <t>IBVS 5917 </t>
  </si>
  <si>
    <t>2454375.3503 </t>
  </si>
  <si>
    <t> 01.10.2007 20:24 </t>
  </si>
  <si>
    <t>3241.5</t>
  </si>
  <si>
    <t> -0.0005 </t>
  </si>
  <si>
    <t> F.Salvaggio </t>
  </si>
  <si>
    <t>2454375.353 </t>
  </si>
  <si>
    <t> 01.10.2007 20:28 </t>
  </si>
  <si>
    <t> 0.002 </t>
  </si>
  <si>
    <t>2454702.4649 </t>
  </si>
  <si>
    <t> 23.08.2008 23:09 </t>
  </si>
  <si>
    <t>3807</t>
  </si>
  <si>
    <t>m</t>
  </si>
  <si>
    <t> S.Çaliskan &amp; E.Özel </t>
  </si>
  <si>
    <t>IBVS 5887 </t>
  </si>
  <si>
    <t>2454714.3240 </t>
  </si>
  <si>
    <t> 04.09.2008 19:46 </t>
  </si>
  <si>
    <t>3827.5</t>
  </si>
  <si>
    <t> H.V.Senavci &amp; T.Yilmaz </t>
  </si>
  <si>
    <t>2454723.2892 </t>
  </si>
  <si>
    <t> 13.09.2008 18:56 </t>
  </si>
  <si>
    <t>3843</t>
  </si>
  <si>
    <t> C.Kiliç &amp; S.Çaliskan </t>
  </si>
  <si>
    <t>2454728.4946 </t>
  </si>
  <si>
    <t> 18.09.2008 23:52 </t>
  </si>
  <si>
    <t>3852</t>
  </si>
  <si>
    <t> -0.0003 </t>
  </si>
  <si>
    <t> Ö.Bastürk &amp; D.Öztürk </t>
  </si>
  <si>
    <t>2454748.4518 </t>
  </si>
  <si>
    <t> 08.10.2008 22:50 </t>
  </si>
  <si>
    <t>3886.5</t>
  </si>
  <si>
    <t> D.Sabuncu &amp; E.Çöl </t>
  </si>
  <si>
    <t>2454777.662 </t>
  </si>
  <si>
    <t> 07.11.2008 03:53 </t>
  </si>
  <si>
    <t>3937</t>
  </si>
  <si>
    <t> -0.001 </t>
  </si>
  <si>
    <t> R.Diethelm </t>
  </si>
  <si>
    <t>IBVS 5871 </t>
  </si>
  <si>
    <t>2455459.3642 </t>
  </si>
  <si>
    <t> 19.09.2010 20:44 </t>
  </si>
  <si>
    <t>5115.5</t>
  </si>
  <si>
    <t> U.Schmidt </t>
  </si>
  <si>
    <t>BAVM 215 </t>
  </si>
  <si>
    <t>2455791.3990 </t>
  </si>
  <si>
    <t> 17.08.2011 21:34 </t>
  </si>
  <si>
    <t>5689.5</t>
  </si>
  <si>
    <t>IBVS 6044 </t>
  </si>
  <si>
    <t>2456165.3672 </t>
  </si>
  <si>
    <t> 25.08.2012 20:48 </t>
  </si>
  <si>
    <t>6336</t>
  </si>
  <si>
    <t> 0.0010 </t>
  </si>
  <si>
    <t>2456905.4955 </t>
  </si>
  <si>
    <t> 04.09.2014 23:53 </t>
  </si>
  <si>
    <t>7615.5</t>
  </si>
  <si>
    <t> 0.0018 </t>
  </si>
  <si>
    <t>BAVM 239 </t>
  </si>
  <si>
    <t>2454427.9896 </t>
  </si>
  <si>
    <t> 23.11.2007 11:45 </t>
  </si>
  <si>
    <t>3332.5</t>
  </si>
  <si>
    <t>Ic</t>
  </si>
  <si>
    <t> K.Nakajima </t>
  </si>
  <si>
    <t>VSB 46 </t>
  </si>
  <si>
    <t>2455213.2378 </t>
  </si>
  <si>
    <t> 16.01.2010 17:42 </t>
  </si>
  <si>
    <t>4690</t>
  </si>
  <si>
    <t> 0.0013 </t>
  </si>
  <si>
    <t>IBVS 5980 </t>
  </si>
  <si>
    <t>2455419.4560 </t>
  </si>
  <si>
    <t> 10.08.2010 22:56 </t>
  </si>
  <si>
    <t>5046.5</t>
  </si>
  <si>
    <t>2455817.4295 </t>
  </si>
  <si>
    <t> 12.09.2011 22:18 </t>
  </si>
  <si>
    <t>5734.5</t>
  </si>
  <si>
    <t>BAVM 225 </t>
  </si>
  <si>
    <t>EW?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</si>
  <si>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</si>
  <si>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</si>
  <si>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</si>
  <si>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</si>
  <si>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</si>
  <si>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</si>
  <si>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</si>
  <si>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</si>
  <si>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</si>
  <si>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IBVS 5282</t>
  </si>
  <si>
    <t>IBVS 5843</t>
  </si>
  <si>
    <t>IBVS 5649</t>
  </si>
  <si>
    <t>IBVS 5898</t>
  </si>
  <si>
    <t>IBVS 5761</t>
  </si>
  <si>
    <t>IBVS 5777</t>
  </si>
  <si>
    <t>JAVSO..36..171</t>
  </si>
  <si>
    <t>IBVS 5917</t>
  </si>
  <si>
    <t>IBVS 5887</t>
  </si>
  <si>
    <t>IBVS 5871</t>
  </si>
  <si>
    <t>IBVS 5980</t>
  </si>
  <si>
    <t>IBVS 5984</t>
  </si>
  <si>
    <t>IBVS 6225</t>
  </si>
  <si>
    <t>IBVS 6044</t>
  </si>
  <si>
    <t>IBVS 6152</t>
  </si>
  <si>
    <t>OEJV 0179</t>
  </si>
  <si>
    <t>IBVS 6196</t>
  </si>
  <si>
    <t>IBVS 6244</t>
  </si>
  <si>
    <t>OEJV 0191</t>
  </si>
  <si>
    <t>OEJV 0211</t>
  </si>
  <si>
    <t>JBAV, 60</t>
  </si>
  <si>
    <t>JBAV, 63</t>
  </si>
  <si>
    <t>V0357 Peg / GSC 02254-02650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</si>
</sst>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"/>
    <numFmt numFmtId="166" formatCode="m/d/yyyy\ h:mm"/>
    <numFmt numFmtId="167" formatCode="0.00000"/>
    <numFmt numFmtId="168" formatCode="dd/mm/yyyy"/>
  </numFmts>
  <fonts count="16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" fillId="0" borderId="0"/>
    <xf numFmtId="0" fontId="14" fillId="0" borderId="0"/>
    <xf numFmtId="0" fontId="14" fillId="0" borderId="0"/>
  </cellStyleXfs>
  <cellXfs count="7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/>
    <xf numFmtId="165" fontId="0" fillId="0" borderId="0" xfId="0" applyNumberForma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7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5" fillId="2" borderId="10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right" vertical="top" wrapText="1"/>
    </xf>
    <xf numFmtId="0" fontId="7" fillId="2" borderId="10" xfId="5" applyNumberFormat="1" applyFill="1" applyBorder="1" applyAlignment="1" applyProtection="1">
      <alignment horizontal="right" vertical="top" wrapText="1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3" fillId="0" borderId="0" xfId="0" applyFont="1">
      <alignment vertical="top"/>
    </xf>
    <xf numFmtId="0" fontId="4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6" fontId="4" fillId="0" borderId="0" xfId="0" applyNumberFormat="1" applyFo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8" applyFont="1" applyAlignment="1">
      <alignment horizontal="left" vertical="center"/>
    </xf>
    <xf numFmtId="0" fontId="12" fillId="0" borderId="0" xfId="8" applyFont="1" applyAlignment="1">
      <alignment horizontal="center" vertical="center"/>
    </xf>
    <xf numFmtId="0" fontId="12" fillId="0" borderId="0" xfId="8" applyFont="1" applyAlignment="1">
      <alignment horizontal="left"/>
    </xf>
    <xf numFmtId="0" fontId="5" fillId="0" borderId="0" xfId="7" applyFont="1"/>
    <xf numFmtId="0" fontId="5" fillId="0" borderId="0" xfId="7" applyFont="1" applyAlignment="1">
      <alignment horizontal="center"/>
    </xf>
    <xf numFmtId="0" fontId="5" fillId="0" borderId="0" xfId="7" applyFont="1" applyAlignment="1">
      <alignment horizontal="left"/>
    </xf>
    <xf numFmtId="0" fontId="5" fillId="0" borderId="0" xfId="6" applyFont="1" applyAlignment="1">
      <alignment wrapText="1"/>
    </xf>
    <xf numFmtId="0" fontId="5" fillId="0" borderId="0" xfId="6" applyFont="1" applyAlignment="1">
      <alignment horizontal="center" wrapText="1"/>
    </xf>
    <xf numFmtId="0" fontId="5" fillId="0" borderId="0" xfId="6" applyFont="1" applyAlignment="1">
      <alignment horizontal="left" wrapText="1"/>
    </xf>
    <xf numFmtId="0" fontId="13" fillId="0" borderId="0" xfId="8" applyFont="1"/>
    <xf numFmtId="0" fontId="13" fillId="0" borderId="0" xfId="8" applyFont="1" applyAlignment="1">
      <alignment horizontal="center" wrapText="1"/>
    </xf>
    <xf numFmtId="0" fontId="13" fillId="0" borderId="0" xfId="8" applyFont="1" applyAlignment="1">
      <alignment horizontal="left" wrapText="1"/>
    </xf>
    <xf numFmtId="0" fontId="13" fillId="0" borderId="0" xfId="8" applyFont="1" applyAlignment="1">
      <alignment horizontal="center"/>
    </xf>
    <xf numFmtId="0" fontId="13" fillId="0" borderId="0" xfId="8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8" fontId="0" fillId="0" borderId="0" xfId="0" applyNumberFormat="1" applyAlignment="1"/>
    <xf numFmtId="167" fontId="15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V0357 Peg - O-C Diagr.</a:t>
            </a:r>
          </a:p>
        </c:rich>
      </c:tx>
      <c:layout>
        <c:manualLayout>
          <c:xMode val="edge"/>
          <c:yMode val="edge"/>
          <c:x val="0.3570278028655141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70421966484958"/>
          <c:y val="0.12394570310613014"/>
          <c:w val="0.82560024227740758"/>
          <c:h val="0.6510545384280953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Active!$F$21:$F$800</c:f>
              <c:numCache>
                <c:formatCode>General</c:formatCode>
                <c:ptCount val="780"/>
                <c:pt idx="0">
                  <c:v>-83</c:v>
                </c:pt>
                <c:pt idx="1">
                  <c:v>-83</c:v>
                </c:pt>
                <c:pt idx="2">
                  <c:v>-83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72</c:v>
                </c:pt>
                <c:pt idx="8">
                  <c:v>86</c:v>
                </c:pt>
                <c:pt idx="9">
                  <c:v>86</c:v>
                </c:pt>
                <c:pt idx="10">
                  <c:v>86</c:v>
                </c:pt>
                <c:pt idx="11">
                  <c:v>1110</c:v>
                </c:pt>
                <c:pt idx="12">
                  <c:v>1117</c:v>
                </c:pt>
                <c:pt idx="13">
                  <c:v>1134</c:v>
                </c:pt>
                <c:pt idx="14">
                  <c:v>1141</c:v>
                </c:pt>
                <c:pt idx="15">
                  <c:v>3585</c:v>
                </c:pt>
                <c:pt idx="16">
                  <c:v>4985</c:v>
                </c:pt>
                <c:pt idx="17">
                  <c:v>4986</c:v>
                </c:pt>
                <c:pt idx="18">
                  <c:v>4986</c:v>
                </c:pt>
                <c:pt idx="19">
                  <c:v>5311</c:v>
                </c:pt>
                <c:pt idx="20">
                  <c:v>6145</c:v>
                </c:pt>
                <c:pt idx="21">
                  <c:v>6169</c:v>
                </c:pt>
                <c:pt idx="22">
                  <c:v>7323</c:v>
                </c:pt>
                <c:pt idx="23">
                  <c:v>7324</c:v>
                </c:pt>
                <c:pt idx="24">
                  <c:v>7355</c:v>
                </c:pt>
                <c:pt idx="25">
                  <c:v>8682</c:v>
                </c:pt>
                <c:pt idx="26">
                  <c:v>8699</c:v>
                </c:pt>
                <c:pt idx="27">
                  <c:v>8893</c:v>
                </c:pt>
                <c:pt idx="28">
                  <c:v>8904</c:v>
                </c:pt>
                <c:pt idx="29">
                  <c:v>9819</c:v>
                </c:pt>
                <c:pt idx="30">
                  <c:v>9971</c:v>
                </c:pt>
                <c:pt idx="31">
                  <c:v>9978</c:v>
                </c:pt>
                <c:pt idx="32">
                  <c:v>9978</c:v>
                </c:pt>
                <c:pt idx="33">
                  <c:v>10160</c:v>
                </c:pt>
                <c:pt idx="34">
                  <c:v>11019</c:v>
                </c:pt>
                <c:pt idx="35">
                  <c:v>11033</c:v>
                </c:pt>
                <c:pt idx="36">
                  <c:v>11109</c:v>
                </c:pt>
                <c:pt idx="37">
                  <c:v>11150</c:v>
                </c:pt>
                <c:pt idx="38">
                  <c:v>11181</c:v>
                </c:pt>
                <c:pt idx="39">
                  <c:v>11199</c:v>
                </c:pt>
                <c:pt idx="40">
                  <c:v>11268</c:v>
                </c:pt>
                <c:pt idx="41">
                  <c:v>11369</c:v>
                </c:pt>
                <c:pt idx="42">
                  <c:v>12875</c:v>
                </c:pt>
                <c:pt idx="43">
                  <c:v>13588</c:v>
                </c:pt>
                <c:pt idx="44">
                  <c:v>13726</c:v>
                </c:pt>
                <c:pt idx="45">
                  <c:v>14760</c:v>
                </c:pt>
                <c:pt idx="46">
                  <c:v>14767</c:v>
                </c:pt>
                <c:pt idx="47">
                  <c:v>14874</c:v>
                </c:pt>
                <c:pt idx="48">
                  <c:v>14964</c:v>
                </c:pt>
                <c:pt idx="49">
                  <c:v>15033</c:v>
                </c:pt>
                <c:pt idx="50">
                  <c:v>16167</c:v>
                </c:pt>
                <c:pt idx="51">
                  <c:v>18726</c:v>
                </c:pt>
                <c:pt idx="52">
                  <c:v>19905</c:v>
                </c:pt>
                <c:pt idx="53">
                  <c:v>19957</c:v>
                </c:pt>
                <c:pt idx="54">
                  <c:v>20009</c:v>
                </c:pt>
                <c:pt idx="55">
                  <c:v>20015</c:v>
                </c:pt>
                <c:pt idx="56">
                  <c:v>20016</c:v>
                </c:pt>
                <c:pt idx="57">
                  <c:v>22529</c:v>
                </c:pt>
                <c:pt idx="58">
                  <c:v>22726</c:v>
                </c:pt>
                <c:pt idx="59">
                  <c:v>22585</c:v>
                </c:pt>
                <c:pt idx="60">
                  <c:v>26353</c:v>
                </c:pt>
                <c:pt idx="61">
                  <c:v>26550</c:v>
                </c:pt>
                <c:pt idx="62">
                  <c:v>27563</c:v>
                </c:pt>
                <c:pt idx="63">
                  <c:v>27636</c:v>
                </c:pt>
                <c:pt idx="64">
                  <c:v>27753</c:v>
                </c:pt>
              </c:numCache>
            </c:numRef>
          </c:xVal>
          <c:yVal>
            <c:numRef>
              <c:f>Active!$H$21:$H$800</c:f>
              <c:numCache>
                <c:formatCode>General</c:formatCode>
                <c:ptCount val="7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28-4342-81FB-C55916BF31D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Active!$F$21:$F$800</c:f>
              <c:numCache>
                <c:formatCode>General</c:formatCode>
                <c:ptCount val="780"/>
                <c:pt idx="0">
                  <c:v>-83</c:v>
                </c:pt>
                <c:pt idx="1">
                  <c:v>-83</c:v>
                </c:pt>
                <c:pt idx="2">
                  <c:v>-83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72</c:v>
                </c:pt>
                <c:pt idx="8">
                  <c:v>86</c:v>
                </c:pt>
                <c:pt idx="9">
                  <c:v>86</c:v>
                </c:pt>
                <c:pt idx="10">
                  <c:v>86</c:v>
                </c:pt>
                <c:pt idx="11">
                  <c:v>1110</c:v>
                </c:pt>
                <c:pt idx="12">
                  <c:v>1117</c:v>
                </c:pt>
                <c:pt idx="13">
                  <c:v>1134</c:v>
                </c:pt>
                <c:pt idx="14">
                  <c:v>1141</c:v>
                </c:pt>
                <c:pt idx="15">
                  <c:v>3585</c:v>
                </c:pt>
                <c:pt idx="16">
                  <c:v>4985</c:v>
                </c:pt>
                <c:pt idx="17">
                  <c:v>4986</c:v>
                </c:pt>
                <c:pt idx="18">
                  <c:v>4986</c:v>
                </c:pt>
                <c:pt idx="19">
                  <c:v>5311</c:v>
                </c:pt>
                <c:pt idx="20">
                  <c:v>6145</c:v>
                </c:pt>
                <c:pt idx="21">
                  <c:v>6169</c:v>
                </c:pt>
                <c:pt idx="22">
                  <c:v>7323</c:v>
                </c:pt>
                <c:pt idx="23">
                  <c:v>7324</c:v>
                </c:pt>
                <c:pt idx="24">
                  <c:v>7355</c:v>
                </c:pt>
                <c:pt idx="25">
                  <c:v>8682</c:v>
                </c:pt>
                <c:pt idx="26">
                  <c:v>8699</c:v>
                </c:pt>
                <c:pt idx="27">
                  <c:v>8893</c:v>
                </c:pt>
                <c:pt idx="28">
                  <c:v>8904</c:v>
                </c:pt>
                <c:pt idx="29">
                  <c:v>9819</c:v>
                </c:pt>
                <c:pt idx="30">
                  <c:v>9971</c:v>
                </c:pt>
                <c:pt idx="31">
                  <c:v>9978</c:v>
                </c:pt>
                <c:pt idx="32">
                  <c:v>9978</c:v>
                </c:pt>
                <c:pt idx="33">
                  <c:v>10160</c:v>
                </c:pt>
                <c:pt idx="34">
                  <c:v>11019</c:v>
                </c:pt>
                <c:pt idx="35">
                  <c:v>11033</c:v>
                </c:pt>
                <c:pt idx="36">
                  <c:v>11109</c:v>
                </c:pt>
                <c:pt idx="37">
                  <c:v>11150</c:v>
                </c:pt>
                <c:pt idx="38">
                  <c:v>11181</c:v>
                </c:pt>
                <c:pt idx="39">
                  <c:v>11199</c:v>
                </c:pt>
                <c:pt idx="40">
                  <c:v>11268</c:v>
                </c:pt>
                <c:pt idx="41">
                  <c:v>11369</c:v>
                </c:pt>
                <c:pt idx="42">
                  <c:v>12875</c:v>
                </c:pt>
                <c:pt idx="43">
                  <c:v>13588</c:v>
                </c:pt>
                <c:pt idx="44">
                  <c:v>13726</c:v>
                </c:pt>
                <c:pt idx="45">
                  <c:v>14760</c:v>
                </c:pt>
                <c:pt idx="46">
                  <c:v>14767</c:v>
                </c:pt>
                <c:pt idx="47">
                  <c:v>14874</c:v>
                </c:pt>
                <c:pt idx="48">
                  <c:v>14964</c:v>
                </c:pt>
                <c:pt idx="49">
                  <c:v>15033</c:v>
                </c:pt>
                <c:pt idx="50">
                  <c:v>16167</c:v>
                </c:pt>
                <c:pt idx="51">
                  <c:v>18726</c:v>
                </c:pt>
                <c:pt idx="52">
                  <c:v>19905</c:v>
                </c:pt>
                <c:pt idx="53">
                  <c:v>19957</c:v>
                </c:pt>
                <c:pt idx="54">
                  <c:v>20009</c:v>
                </c:pt>
                <c:pt idx="55">
                  <c:v>20015</c:v>
                </c:pt>
                <c:pt idx="56">
                  <c:v>20016</c:v>
                </c:pt>
                <c:pt idx="57">
                  <c:v>22529</c:v>
                </c:pt>
                <c:pt idx="58">
                  <c:v>22726</c:v>
                </c:pt>
                <c:pt idx="59">
                  <c:v>22585</c:v>
                </c:pt>
                <c:pt idx="60">
                  <c:v>26353</c:v>
                </c:pt>
                <c:pt idx="61">
                  <c:v>26550</c:v>
                </c:pt>
                <c:pt idx="62">
                  <c:v>27563</c:v>
                </c:pt>
                <c:pt idx="63">
                  <c:v>27636</c:v>
                </c:pt>
                <c:pt idx="64">
                  <c:v>27753</c:v>
                </c:pt>
              </c:numCache>
            </c:numRef>
          </c:xVal>
          <c:yVal>
            <c:numRef>
              <c:f>Active!$I$21:$I$800</c:f>
              <c:numCache>
                <c:formatCode>General</c:formatCode>
                <c:ptCount val="7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28-4342-81FB-C55916BF31D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Active!$F$21:$F$800</c:f>
              <c:numCache>
                <c:formatCode>General</c:formatCode>
                <c:ptCount val="780"/>
                <c:pt idx="0">
                  <c:v>-83</c:v>
                </c:pt>
                <c:pt idx="1">
                  <c:v>-83</c:v>
                </c:pt>
                <c:pt idx="2">
                  <c:v>-83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72</c:v>
                </c:pt>
                <c:pt idx="8">
                  <c:v>86</c:v>
                </c:pt>
                <c:pt idx="9">
                  <c:v>86</c:v>
                </c:pt>
                <c:pt idx="10">
                  <c:v>86</c:v>
                </c:pt>
                <c:pt idx="11">
                  <c:v>1110</c:v>
                </c:pt>
                <c:pt idx="12">
                  <c:v>1117</c:v>
                </c:pt>
                <c:pt idx="13">
                  <c:v>1134</c:v>
                </c:pt>
                <c:pt idx="14">
                  <c:v>1141</c:v>
                </c:pt>
                <c:pt idx="15">
                  <c:v>3585</c:v>
                </c:pt>
                <c:pt idx="16">
                  <c:v>4985</c:v>
                </c:pt>
                <c:pt idx="17">
                  <c:v>4986</c:v>
                </c:pt>
                <c:pt idx="18">
                  <c:v>4986</c:v>
                </c:pt>
                <c:pt idx="19">
                  <c:v>5311</c:v>
                </c:pt>
                <c:pt idx="20">
                  <c:v>6145</c:v>
                </c:pt>
                <c:pt idx="21">
                  <c:v>6169</c:v>
                </c:pt>
                <c:pt idx="22">
                  <c:v>7323</c:v>
                </c:pt>
                <c:pt idx="23">
                  <c:v>7324</c:v>
                </c:pt>
                <c:pt idx="24">
                  <c:v>7355</c:v>
                </c:pt>
                <c:pt idx="25">
                  <c:v>8682</c:v>
                </c:pt>
                <c:pt idx="26">
                  <c:v>8699</c:v>
                </c:pt>
                <c:pt idx="27">
                  <c:v>8893</c:v>
                </c:pt>
                <c:pt idx="28">
                  <c:v>8904</c:v>
                </c:pt>
                <c:pt idx="29">
                  <c:v>9819</c:v>
                </c:pt>
                <c:pt idx="30">
                  <c:v>9971</c:v>
                </c:pt>
                <c:pt idx="31">
                  <c:v>9978</c:v>
                </c:pt>
                <c:pt idx="32">
                  <c:v>9978</c:v>
                </c:pt>
                <c:pt idx="33">
                  <c:v>10160</c:v>
                </c:pt>
                <c:pt idx="34">
                  <c:v>11019</c:v>
                </c:pt>
                <c:pt idx="35">
                  <c:v>11033</c:v>
                </c:pt>
                <c:pt idx="36">
                  <c:v>11109</c:v>
                </c:pt>
                <c:pt idx="37">
                  <c:v>11150</c:v>
                </c:pt>
                <c:pt idx="38">
                  <c:v>11181</c:v>
                </c:pt>
                <c:pt idx="39">
                  <c:v>11199</c:v>
                </c:pt>
                <c:pt idx="40">
                  <c:v>11268</c:v>
                </c:pt>
                <c:pt idx="41">
                  <c:v>11369</c:v>
                </c:pt>
                <c:pt idx="42">
                  <c:v>12875</c:v>
                </c:pt>
                <c:pt idx="43">
                  <c:v>13588</c:v>
                </c:pt>
                <c:pt idx="44">
                  <c:v>13726</c:v>
                </c:pt>
                <c:pt idx="45">
                  <c:v>14760</c:v>
                </c:pt>
                <c:pt idx="46">
                  <c:v>14767</c:v>
                </c:pt>
                <c:pt idx="47">
                  <c:v>14874</c:v>
                </c:pt>
                <c:pt idx="48">
                  <c:v>14964</c:v>
                </c:pt>
                <c:pt idx="49">
                  <c:v>15033</c:v>
                </c:pt>
                <c:pt idx="50">
                  <c:v>16167</c:v>
                </c:pt>
                <c:pt idx="51">
                  <c:v>18726</c:v>
                </c:pt>
                <c:pt idx="52">
                  <c:v>19905</c:v>
                </c:pt>
                <c:pt idx="53">
                  <c:v>19957</c:v>
                </c:pt>
                <c:pt idx="54">
                  <c:v>20009</c:v>
                </c:pt>
                <c:pt idx="55">
                  <c:v>20015</c:v>
                </c:pt>
                <c:pt idx="56">
                  <c:v>20016</c:v>
                </c:pt>
                <c:pt idx="57">
                  <c:v>22529</c:v>
                </c:pt>
                <c:pt idx="58">
                  <c:v>22726</c:v>
                </c:pt>
                <c:pt idx="59">
                  <c:v>22585</c:v>
                </c:pt>
                <c:pt idx="60">
                  <c:v>26353</c:v>
                </c:pt>
                <c:pt idx="61">
                  <c:v>26550</c:v>
                </c:pt>
                <c:pt idx="62">
                  <c:v>27563</c:v>
                </c:pt>
                <c:pt idx="63">
                  <c:v>27636</c:v>
                </c:pt>
                <c:pt idx="64">
                  <c:v>27753</c:v>
                </c:pt>
              </c:numCache>
            </c:numRef>
          </c:xVal>
          <c:yVal>
            <c:numRef>
              <c:f>Active!$J$21:$J$800</c:f>
              <c:numCache>
                <c:formatCode>General</c:formatCode>
                <c:ptCount val="780"/>
                <c:pt idx="0">
                  <c:v>-1.3601272803498432E-3</c:v>
                </c:pt>
                <c:pt idx="1">
                  <c:v>-1.2601272756000981E-3</c:v>
                </c:pt>
                <c:pt idx="2">
                  <c:v>-3.6012727650813758E-4</c:v>
                </c:pt>
                <c:pt idx="3">
                  <c:v>0</c:v>
                </c:pt>
                <c:pt idx="4">
                  <c:v>2.9999999969732016E-4</c:v>
                </c:pt>
                <c:pt idx="5">
                  <c:v>3.9999999717110768E-4</c:v>
                </c:pt>
                <c:pt idx="6">
                  <c:v>-2.9562751296907663E-3</c:v>
                </c:pt>
                <c:pt idx="7">
                  <c:v>-2.5562751325196587E-3</c:v>
                </c:pt>
                <c:pt idx="8">
                  <c:v>-5.1721751515287906E-4</c:v>
                </c:pt>
                <c:pt idx="9">
                  <c:v>-4.1721751767909154E-4</c:v>
                </c:pt>
                <c:pt idx="10">
                  <c:v>-1.1721751798177138E-4</c:v>
                </c:pt>
                <c:pt idx="11">
                  <c:v>-1.1175749386893585E-3</c:v>
                </c:pt>
                <c:pt idx="12">
                  <c:v>-9.9804613273590803E-4</c:v>
                </c:pt>
                <c:pt idx="13">
                  <c:v>6.3666688220109791E-5</c:v>
                </c:pt>
                <c:pt idx="14">
                  <c:v>4.8319549387088045E-4</c:v>
                </c:pt>
                <c:pt idx="15">
                  <c:v>-9.2703256814274937E-4</c:v>
                </c:pt>
                <c:pt idx="16">
                  <c:v>3.787287714658305E-4</c:v>
                </c:pt>
                <c:pt idx="17">
                  <c:v>-9.4705283117946237E-4</c:v>
                </c:pt>
                <c:pt idx="18">
                  <c:v>-9.4705283117946237E-4</c:v>
                </c:pt>
                <c:pt idx="22">
                  <c:v>-2.798649795295205E-3</c:v>
                </c:pt>
                <c:pt idx="25">
                  <c:v>-3.6358428915264085E-3</c:v>
                </c:pt>
                <c:pt idx="36">
                  <c:v>-3.4077837772201747E-3</c:v>
                </c:pt>
                <c:pt idx="37">
                  <c:v>-2.5648293376434594E-3</c:v>
                </c:pt>
                <c:pt idx="38">
                  <c:v>-3.3640589099377394E-3</c:v>
                </c:pt>
                <c:pt idx="39">
                  <c:v>-4.0281276887981221E-3</c:v>
                </c:pt>
                <c:pt idx="40">
                  <c:v>-3.4070580222760327E-3</c:v>
                </c:pt>
                <c:pt idx="44">
                  <c:v>-7.9782284665270709E-3</c:v>
                </c:pt>
                <c:pt idx="51">
                  <c:v>-5.5862236913526431E-3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28-4342-81FB-C55916BF31D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Active!$F$21:$F$800</c:f>
              <c:numCache>
                <c:formatCode>General</c:formatCode>
                <c:ptCount val="780"/>
                <c:pt idx="0">
                  <c:v>-83</c:v>
                </c:pt>
                <c:pt idx="1">
                  <c:v>-83</c:v>
                </c:pt>
                <c:pt idx="2">
                  <c:v>-83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72</c:v>
                </c:pt>
                <c:pt idx="8">
                  <c:v>86</c:v>
                </c:pt>
                <c:pt idx="9">
                  <c:v>86</c:v>
                </c:pt>
                <c:pt idx="10">
                  <c:v>86</c:v>
                </c:pt>
                <c:pt idx="11">
                  <c:v>1110</c:v>
                </c:pt>
                <c:pt idx="12">
                  <c:v>1117</c:v>
                </c:pt>
                <c:pt idx="13">
                  <c:v>1134</c:v>
                </c:pt>
                <c:pt idx="14">
                  <c:v>1141</c:v>
                </c:pt>
                <c:pt idx="15">
                  <c:v>3585</c:v>
                </c:pt>
                <c:pt idx="16">
                  <c:v>4985</c:v>
                </c:pt>
                <c:pt idx="17">
                  <c:v>4986</c:v>
                </c:pt>
                <c:pt idx="18">
                  <c:v>4986</c:v>
                </c:pt>
                <c:pt idx="19">
                  <c:v>5311</c:v>
                </c:pt>
                <c:pt idx="20">
                  <c:v>6145</c:v>
                </c:pt>
                <c:pt idx="21">
                  <c:v>6169</c:v>
                </c:pt>
                <c:pt idx="22">
                  <c:v>7323</c:v>
                </c:pt>
                <c:pt idx="23">
                  <c:v>7324</c:v>
                </c:pt>
                <c:pt idx="24">
                  <c:v>7355</c:v>
                </c:pt>
                <c:pt idx="25">
                  <c:v>8682</c:v>
                </c:pt>
                <c:pt idx="26">
                  <c:v>8699</c:v>
                </c:pt>
                <c:pt idx="27">
                  <c:v>8893</c:v>
                </c:pt>
                <c:pt idx="28">
                  <c:v>8904</c:v>
                </c:pt>
                <c:pt idx="29">
                  <c:v>9819</c:v>
                </c:pt>
                <c:pt idx="30">
                  <c:v>9971</c:v>
                </c:pt>
                <c:pt idx="31">
                  <c:v>9978</c:v>
                </c:pt>
                <c:pt idx="32">
                  <c:v>9978</c:v>
                </c:pt>
                <c:pt idx="33">
                  <c:v>10160</c:v>
                </c:pt>
                <c:pt idx="34">
                  <c:v>11019</c:v>
                </c:pt>
                <c:pt idx="35">
                  <c:v>11033</c:v>
                </c:pt>
                <c:pt idx="36">
                  <c:v>11109</c:v>
                </c:pt>
                <c:pt idx="37">
                  <c:v>11150</c:v>
                </c:pt>
                <c:pt idx="38">
                  <c:v>11181</c:v>
                </c:pt>
                <c:pt idx="39">
                  <c:v>11199</c:v>
                </c:pt>
                <c:pt idx="40">
                  <c:v>11268</c:v>
                </c:pt>
                <c:pt idx="41">
                  <c:v>11369</c:v>
                </c:pt>
                <c:pt idx="42">
                  <c:v>12875</c:v>
                </c:pt>
                <c:pt idx="43">
                  <c:v>13588</c:v>
                </c:pt>
                <c:pt idx="44">
                  <c:v>13726</c:v>
                </c:pt>
                <c:pt idx="45">
                  <c:v>14760</c:v>
                </c:pt>
                <c:pt idx="46">
                  <c:v>14767</c:v>
                </c:pt>
                <c:pt idx="47">
                  <c:v>14874</c:v>
                </c:pt>
                <c:pt idx="48">
                  <c:v>14964</c:v>
                </c:pt>
                <c:pt idx="49">
                  <c:v>15033</c:v>
                </c:pt>
                <c:pt idx="50">
                  <c:v>16167</c:v>
                </c:pt>
                <c:pt idx="51">
                  <c:v>18726</c:v>
                </c:pt>
                <c:pt idx="52">
                  <c:v>19905</c:v>
                </c:pt>
                <c:pt idx="53">
                  <c:v>19957</c:v>
                </c:pt>
                <c:pt idx="54">
                  <c:v>20009</c:v>
                </c:pt>
                <c:pt idx="55">
                  <c:v>20015</c:v>
                </c:pt>
                <c:pt idx="56">
                  <c:v>20016</c:v>
                </c:pt>
                <c:pt idx="57">
                  <c:v>22529</c:v>
                </c:pt>
                <c:pt idx="58">
                  <c:v>22726</c:v>
                </c:pt>
                <c:pt idx="59">
                  <c:v>22585</c:v>
                </c:pt>
                <c:pt idx="60">
                  <c:v>26353</c:v>
                </c:pt>
                <c:pt idx="61">
                  <c:v>26550</c:v>
                </c:pt>
                <c:pt idx="62">
                  <c:v>27563</c:v>
                </c:pt>
                <c:pt idx="63">
                  <c:v>27636</c:v>
                </c:pt>
                <c:pt idx="64">
                  <c:v>27753</c:v>
                </c:pt>
              </c:numCache>
            </c:numRef>
          </c:xVal>
          <c:yVal>
            <c:numRef>
              <c:f>Active!$K$21:$K$800</c:f>
              <c:numCache>
                <c:formatCode>General</c:formatCode>
                <c:ptCount val="780"/>
                <c:pt idx="19">
                  <c:v>-1.5260725194821134E-3</c:v>
                </c:pt>
                <c:pt idx="20">
                  <c:v>-4.1279261204181239E-3</c:v>
                </c:pt>
                <c:pt idx="21">
                  <c:v>-4.5466845040209591E-3</c:v>
                </c:pt>
                <c:pt idx="23">
                  <c:v>-1.2244313984410837E-3</c:v>
                </c:pt>
                <c:pt idx="24">
                  <c:v>-2.0236609707353637E-3</c:v>
                </c:pt>
                <c:pt idx="26">
                  <c:v>-2.1741300806752406E-3</c:v>
                </c:pt>
                <c:pt idx="27">
                  <c:v>-2.075760297884699E-3</c:v>
                </c:pt>
                <c:pt idx="28">
                  <c:v>-1.9593578836065717E-3</c:v>
                </c:pt>
                <c:pt idx="29">
                  <c:v>-2.9495210110326298E-3</c:v>
                </c:pt>
                <c:pt idx="30">
                  <c:v>-3.3683240617392585E-3</c:v>
                </c:pt>
                <c:pt idx="31">
                  <c:v>-3.6487952602328733E-3</c:v>
                </c:pt>
                <c:pt idx="32">
                  <c:v>-9.4879525568103418E-4</c:v>
                </c:pt>
                <c:pt idx="33">
                  <c:v>-3.4410462831147015E-3</c:v>
                </c:pt>
                <c:pt idx="34">
                  <c:v>-3.4874398552346975E-3</c:v>
                </c:pt>
                <c:pt idx="35">
                  <c:v>-2.6483822512091137E-3</c:v>
                </c:pt>
                <c:pt idx="41">
                  <c:v>-5.0109995281673037E-3</c:v>
                </c:pt>
                <c:pt idx="42">
                  <c:v>-3.2380876800743863E-3</c:v>
                </c:pt>
                <c:pt idx="43">
                  <c:v>-3.0203678034013137E-3</c:v>
                </c:pt>
                <c:pt idx="45">
                  <c:v>-3.7364018789958209E-3</c:v>
                </c:pt>
                <c:pt idx="46">
                  <c:v>-4.1168730749632232E-3</c:v>
                </c:pt>
                <c:pt idx="47">
                  <c:v>-4.3755041770054959E-3</c:v>
                </c:pt>
                <c:pt idx="48">
                  <c:v>-4.1958480869652703E-3</c:v>
                </c:pt>
                <c:pt idx="49">
                  <c:v>-3.0747784257982858E-3</c:v>
                </c:pt>
                <c:pt idx="50">
                  <c:v>-5.1111117354594171E-3</c:v>
                </c:pt>
                <c:pt idx="52">
                  <c:v>-6.9027289646328427E-3</c:v>
                </c:pt>
                <c:pt idx="53">
                  <c:v>-5.6233721115859225E-3</c:v>
                </c:pt>
                <c:pt idx="54">
                  <c:v>-5.9640152612701058E-3</c:v>
                </c:pt>
                <c:pt idx="55">
                  <c:v>-5.5187048565130681E-3</c:v>
                </c:pt>
                <c:pt idx="56">
                  <c:v>-5.1444864584482275E-3</c:v>
                </c:pt>
                <c:pt idx="57">
                  <c:v>-4.5336448529269546E-3</c:v>
                </c:pt>
                <c:pt idx="58">
                  <c:v>-4.2126198604819365E-3</c:v>
                </c:pt>
                <c:pt idx="59">
                  <c:v>-5.9974142131977715E-3</c:v>
                </c:pt>
                <c:pt idx="60">
                  <c:v>-5.6224795916932635E-3</c:v>
                </c:pt>
                <c:pt idx="61">
                  <c:v>-4.50145460490603E-3</c:v>
                </c:pt>
                <c:pt idx="62">
                  <c:v>-1.511821444000816E-2</c:v>
                </c:pt>
                <c:pt idx="63">
                  <c:v>-4.5002711631241255E-3</c:v>
                </c:pt>
                <c:pt idx="64">
                  <c:v>-1.1816718259069603E-2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28-4342-81FB-C55916BF31D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Active!$F$21:$F$800</c:f>
              <c:numCache>
                <c:formatCode>General</c:formatCode>
                <c:ptCount val="780"/>
                <c:pt idx="0">
                  <c:v>-83</c:v>
                </c:pt>
                <c:pt idx="1">
                  <c:v>-83</c:v>
                </c:pt>
                <c:pt idx="2">
                  <c:v>-83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72</c:v>
                </c:pt>
                <c:pt idx="8">
                  <c:v>86</c:v>
                </c:pt>
                <c:pt idx="9">
                  <c:v>86</c:v>
                </c:pt>
                <c:pt idx="10">
                  <c:v>86</c:v>
                </c:pt>
                <c:pt idx="11">
                  <c:v>1110</c:v>
                </c:pt>
                <c:pt idx="12">
                  <c:v>1117</c:v>
                </c:pt>
                <c:pt idx="13">
                  <c:v>1134</c:v>
                </c:pt>
                <c:pt idx="14">
                  <c:v>1141</c:v>
                </c:pt>
                <c:pt idx="15">
                  <c:v>3585</c:v>
                </c:pt>
                <c:pt idx="16">
                  <c:v>4985</c:v>
                </c:pt>
                <c:pt idx="17">
                  <c:v>4986</c:v>
                </c:pt>
                <c:pt idx="18">
                  <c:v>4986</c:v>
                </c:pt>
                <c:pt idx="19">
                  <c:v>5311</c:v>
                </c:pt>
                <c:pt idx="20">
                  <c:v>6145</c:v>
                </c:pt>
                <c:pt idx="21">
                  <c:v>6169</c:v>
                </c:pt>
                <c:pt idx="22">
                  <c:v>7323</c:v>
                </c:pt>
                <c:pt idx="23">
                  <c:v>7324</c:v>
                </c:pt>
                <c:pt idx="24">
                  <c:v>7355</c:v>
                </c:pt>
                <c:pt idx="25">
                  <c:v>8682</c:v>
                </c:pt>
                <c:pt idx="26">
                  <c:v>8699</c:v>
                </c:pt>
                <c:pt idx="27">
                  <c:v>8893</c:v>
                </c:pt>
                <c:pt idx="28">
                  <c:v>8904</c:v>
                </c:pt>
                <c:pt idx="29">
                  <c:v>9819</c:v>
                </c:pt>
                <c:pt idx="30">
                  <c:v>9971</c:v>
                </c:pt>
                <c:pt idx="31">
                  <c:v>9978</c:v>
                </c:pt>
                <c:pt idx="32">
                  <c:v>9978</c:v>
                </c:pt>
                <c:pt idx="33">
                  <c:v>10160</c:v>
                </c:pt>
                <c:pt idx="34">
                  <c:v>11019</c:v>
                </c:pt>
                <c:pt idx="35">
                  <c:v>11033</c:v>
                </c:pt>
                <c:pt idx="36">
                  <c:v>11109</c:v>
                </c:pt>
                <c:pt idx="37">
                  <c:v>11150</c:v>
                </c:pt>
                <c:pt idx="38">
                  <c:v>11181</c:v>
                </c:pt>
                <c:pt idx="39">
                  <c:v>11199</c:v>
                </c:pt>
                <c:pt idx="40">
                  <c:v>11268</c:v>
                </c:pt>
                <c:pt idx="41">
                  <c:v>11369</c:v>
                </c:pt>
                <c:pt idx="42">
                  <c:v>12875</c:v>
                </c:pt>
                <c:pt idx="43">
                  <c:v>13588</c:v>
                </c:pt>
                <c:pt idx="44">
                  <c:v>13726</c:v>
                </c:pt>
                <c:pt idx="45">
                  <c:v>14760</c:v>
                </c:pt>
                <c:pt idx="46">
                  <c:v>14767</c:v>
                </c:pt>
                <c:pt idx="47">
                  <c:v>14874</c:v>
                </c:pt>
                <c:pt idx="48">
                  <c:v>14964</c:v>
                </c:pt>
                <c:pt idx="49">
                  <c:v>15033</c:v>
                </c:pt>
                <c:pt idx="50">
                  <c:v>16167</c:v>
                </c:pt>
                <c:pt idx="51">
                  <c:v>18726</c:v>
                </c:pt>
                <c:pt idx="52">
                  <c:v>19905</c:v>
                </c:pt>
                <c:pt idx="53">
                  <c:v>19957</c:v>
                </c:pt>
                <c:pt idx="54">
                  <c:v>20009</c:v>
                </c:pt>
                <c:pt idx="55">
                  <c:v>20015</c:v>
                </c:pt>
                <c:pt idx="56">
                  <c:v>20016</c:v>
                </c:pt>
                <c:pt idx="57">
                  <c:v>22529</c:v>
                </c:pt>
                <c:pt idx="58">
                  <c:v>22726</c:v>
                </c:pt>
                <c:pt idx="59">
                  <c:v>22585</c:v>
                </c:pt>
                <c:pt idx="60">
                  <c:v>26353</c:v>
                </c:pt>
                <c:pt idx="61">
                  <c:v>26550</c:v>
                </c:pt>
                <c:pt idx="62">
                  <c:v>27563</c:v>
                </c:pt>
                <c:pt idx="63">
                  <c:v>27636</c:v>
                </c:pt>
                <c:pt idx="64">
                  <c:v>27753</c:v>
                </c:pt>
              </c:numCache>
            </c:numRef>
          </c:xVal>
          <c:yVal>
            <c:numRef>
              <c:f>Active!$L$21:$L$800</c:f>
              <c:numCache>
                <c:formatCode>General</c:formatCode>
                <c:ptCount val="7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28-4342-81FB-C55916BF31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Active!$F$21:$F$800</c:f>
              <c:numCache>
                <c:formatCode>General</c:formatCode>
                <c:ptCount val="780"/>
                <c:pt idx="0">
                  <c:v>-83</c:v>
                </c:pt>
                <c:pt idx="1">
                  <c:v>-83</c:v>
                </c:pt>
                <c:pt idx="2">
                  <c:v>-83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72</c:v>
                </c:pt>
                <c:pt idx="8">
                  <c:v>86</c:v>
                </c:pt>
                <c:pt idx="9">
                  <c:v>86</c:v>
                </c:pt>
                <c:pt idx="10">
                  <c:v>86</c:v>
                </c:pt>
                <c:pt idx="11">
                  <c:v>1110</c:v>
                </c:pt>
                <c:pt idx="12">
                  <c:v>1117</c:v>
                </c:pt>
                <c:pt idx="13">
                  <c:v>1134</c:v>
                </c:pt>
                <c:pt idx="14">
                  <c:v>1141</c:v>
                </c:pt>
                <c:pt idx="15">
                  <c:v>3585</c:v>
                </c:pt>
                <c:pt idx="16">
                  <c:v>4985</c:v>
                </c:pt>
                <c:pt idx="17">
                  <c:v>4986</c:v>
                </c:pt>
                <c:pt idx="18">
                  <c:v>4986</c:v>
                </c:pt>
                <c:pt idx="19">
                  <c:v>5311</c:v>
                </c:pt>
                <c:pt idx="20">
                  <c:v>6145</c:v>
                </c:pt>
                <c:pt idx="21">
                  <c:v>6169</c:v>
                </c:pt>
                <c:pt idx="22">
                  <c:v>7323</c:v>
                </c:pt>
                <c:pt idx="23">
                  <c:v>7324</c:v>
                </c:pt>
                <c:pt idx="24">
                  <c:v>7355</c:v>
                </c:pt>
                <c:pt idx="25">
                  <c:v>8682</c:v>
                </c:pt>
                <c:pt idx="26">
                  <c:v>8699</c:v>
                </c:pt>
                <c:pt idx="27">
                  <c:v>8893</c:v>
                </c:pt>
                <c:pt idx="28">
                  <c:v>8904</c:v>
                </c:pt>
                <c:pt idx="29">
                  <c:v>9819</c:v>
                </c:pt>
                <c:pt idx="30">
                  <c:v>9971</c:v>
                </c:pt>
                <c:pt idx="31">
                  <c:v>9978</c:v>
                </c:pt>
                <c:pt idx="32">
                  <c:v>9978</c:v>
                </c:pt>
                <c:pt idx="33">
                  <c:v>10160</c:v>
                </c:pt>
                <c:pt idx="34">
                  <c:v>11019</c:v>
                </c:pt>
                <c:pt idx="35">
                  <c:v>11033</c:v>
                </c:pt>
                <c:pt idx="36">
                  <c:v>11109</c:v>
                </c:pt>
                <c:pt idx="37">
                  <c:v>11150</c:v>
                </c:pt>
                <c:pt idx="38">
                  <c:v>11181</c:v>
                </c:pt>
                <c:pt idx="39">
                  <c:v>11199</c:v>
                </c:pt>
                <c:pt idx="40">
                  <c:v>11268</c:v>
                </c:pt>
                <c:pt idx="41">
                  <c:v>11369</c:v>
                </c:pt>
                <c:pt idx="42">
                  <c:v>12875</c:v>
                </c:pt>
                <c:pt idx="43">
                  <c:v>13588</c:v>
                </c:pt>
                <c:pt idx="44">
                  <c:v>13726</c:v>
                </c:pt>
                <c:pt idx="45">
                  <c:v>14760</c:v>
                </c:pt>
                <c:pt idx="46">
                  <c:v>14767</c:v>
                </c:pt>
                <c:pt idx="47">
                  <c:v>14874</c:v>
                </c:pt>
                <c:pt idx="48">
                  <c:v>14964</c:v>
                </c:pt>
                <c:pt idx="49">
                  <c:v>15033</c:v>
                </c:pt>
                <c:pt idx="50">
                  <c:v>16167</c:v>
                </c:pt>
                <c:pt idx="51">
                  <c:v>18726</c:v>
                </c:pt>
                <c:pt idx="52">
                  <c:v>19905</c:v>
                </c:pt>
                <c:pt idx="53">
                  <c:v>19957</c:v>
                </c:pt>
                <c:pt idx="54">
                  <c:v>20009</c:v>
                </c:pt>
                <c:pt idx="55">
                  <c:v>20015</c:v>
                </c:pt>
                <c:pt idx="56">
                  <c:v>20016</c:v>
                </c:pt>
                <c:pt idx="57">
                  <c:v>22529</c:v>
                </c:pt>
                <c:pt idx="58">
                  <c:v>22726</c:v>
                </c:pt>
                <c:pt idx="59">
                  <c:v>22585</c:v>
                </c:pt>
                <c:pt idx="60">
                  <c:v>26353</c:v>
                </c:pt>
                <c:pt idx="61">
                  <c:v>26550</c:v>
                </c:pt>
                <c:pt idx="62">
                  <c:v>27563</c:v>
                </c:pt>
                <c:pt idx="63">
                  <c:v>27636</c:v>
                </c:pt>
                <c:pt idx="64">
                  <c:v>27753</c:v>
                </c:pt>
              </c:numCache>
            </c:numRef>
          </c:xVal>
          <c:yVal>
            <c:numRef>
              <c:f>Active!$M$21:$M$800</c:f>
              <c:numCache>
                <c:formatCode>General</c:formatCode>
                <c:ptCount val="7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28-4342-81FB-C55916BF31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Active!$F$21:$F$800</c:f>
              <c:numCache>
                <c:formatCode>General</c:formatCode>
                <c:ptCount val="780"/>
                <c:pt idx="0">
                  <c:v>-83</c:v>
                </c:pt>
                <c:pt idx="1">
                  <c:v>-83</c:v>
                </c:pt>
                <c:pt idx="2">
                  <c:v>-83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72</c:v>
                </c:pt>
                <c:pt idx="8">
                  <c:v>86</c:v>
                </c:pt>
                <c:pt idx="9">
                  <c:v>86</c:v>
                </c:pt>
                <c:pt idx="10">
                  <c:v>86</c:v>
                </c:pt>
                <c:pt idx="11">
                  <c:v>1110</c:v>
                </c:pt>
                <c:pt idx="12">
                  <c:v>1117</c:v>
                </c:pt>
                <c:pt idx="13">
                  <c:v>1134</c:v>
                </c:pt>
                <c:pt idx="14">
                  <c:v>1141</c:v>
                </c:pt>
                <c:pt idx="15">
                  <c:v>3585</c:v>
                </c:pt>
                <c:pt idx="16">
                  <c:v>4985</c:v>
                </c:pt>
                <c:pt idx="17">
                  <c:v>4986</c:v>
                </c:pt>
                <c:pt idx="18">
                  <c:v>4986</c:v>
                </c:pt>
                <c:pt idx="19">
                  <c:v>5311</c:v>
                </c:pt>
                <c:pt idx="20">
                  <c:v>6145</c:v>
                </c:pt>
                <c:pt idx="21">
                  <c:v>6169</c:v>
                </c:pt>
                <c:pt idx="22">
                  <c:v>7323</c:v>
                </c:pt>
                <c:pt idx="23">
                  <c:v>7324</c:v>
                </c:pt>
                <c:pt idx="24">
                  <c:v>7355</c:v>
                </c:pt>
                <c:pt idx="25">
                  <c:v>8682</c:v>
                </c:pt>
                <c:pt idx="26">
                  <c:v>8699</c:v>
                </c:pt>
                <c:pt idx="27">
                  <c:v>8893</c:v>
                </c:pt>
                <c:pt idx="28">
                  <c:v>8904</c:v>
                </c:pt>
                <c:pt idx="29">
                  <c:v>9819</c:v>
                </c:pt>
                <c:pt idx="30">
                  <c:v>9971</c:v>
                </c:pt>
                <c:pt idx="31">
                  <c:v>9978</c:v>
                </c:pt>
                <c:pt idx="32">
                  <c:v>9978</c:v>
                </c:pt>
                <c:pt idx="33">
                  <c:v>10160</c:v>
                </c:pt>
                <c:pt idx="34">
                  <c:v>11019</c:v>
                </c:pt>
                <c:pt idx="35">
                  <c:v>11033</c:v>
                </c:pt>
                <c:pt idx="36">
                  <c:v>11109</c:v>
                </c:pt>
                <c:pt idx="37">
                  <c:v>11150</c:v>
                </c:pt>
                <c:pt idx="38">
                  <c:v>11181</c:v>
                </c:pt>
                <c:pt idx="39">
                  <c:v>11199</c:v>
                </c:pt>
                <c:pt idx="40">
                  <c:v>11268</c:v>
                </c:pt>
                <c:pt idx="41">
                  <c:v>11369</c:v>
                </c:pt>
                <c:pt idx="42">
                  <c:v>12875</c:v>
                </c:pt>
                <c:pt idx="43">
                  <c:v>13588</c:v>
                </c:pt>
                <c:pt idx="44">
                  <c:v>13726</c:v>
                </c:pt>
                <c:pt idx="45">
                  <c:v>14760</c:v>
                </c:pt>
                <c:pt idx="46">
                  <c:v>14767</c:v>
                </c:pt>
                <c:pt idx="47">
                  <c:v>14874</c:v>
                </c:pt>
                <c:pt idx="48">
                  <c:v>14964</c:v>
                </c:pt>
                <c:pt idx="49">
                  <c:v>15033</c:v>
                </c:pt>
                <c:pt idx="50">
                  <c:v>16167</c:v>
                </c:pt>
                <c:pt idx="51">
                  <c:v>18726</c:v>
                </c:pt>
                <c:pt idx="52">
                  <c:v>19905</c:v>
                </c:pt>
                <c:pt idx="53">
                  <c:v>19957</c:v>
                </c:pt>
                <c:pt idx="54">
                  <c:v>20009</c:v>
                </c:pt>
                <c:pt idx="55">
                  <c:v>20015</c:v>
                </c:pt>
                <c:pt idx="56">
                  <c:v>20016</c:v>
                </c:pt>
                <c:pt idx="57">
                  <c:v>22529</c:v>
                </c:pt>
                <c:pt idx="58">
                  <c:v>22726</c:v>
                </c:pt>
                <c:pt idx="59">
                  <c:v>22585</c:v>
                </c:pt>
                <c:pt idx="60">
                  <c:v>26353</c:v>
                </c:pt>
                <c:pt idx="61">
                  <c:v>26550</c:v>
                </c:pt>
                <c:pt idx="62">
                  <c:v>27563</c:v>
                </c:pt>
                <c:pt idx="63">
                  <c:v>27636</c:v>
                </c:pt>
                <c:pt idx="64">
                  <c:v>27753</c:v>
                </c:pt>
              </c:numCache>
            </c:numRef>
          </c:xVal>
          <c:yVal>
            <c:numRef>
              <c:f>Active!$N$21:$N$800</c:f>
              <c:numCache>
                <c:formatCode>General</c:formatCode>
                <c:ptCount val="7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28-4342-81FB-C55916BF31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Active!$F$21:$F$800</c:f>
              <c:numCache>
                <c:formatCode>General</c:formatCode>
                <c:ptCount val="780"/>
                <c:pt idx="0">
                  <c:v>-83</c:v>
                </c:pt>
                <c:pt idx="1">
                  <c:v>-83</c:v>
                </c:pt>
                <c:pt idx="2">
                  <c:v>-83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72</c:v>
                </c:pt>
                <c:pt idx="8">
                  <c:v>86</c:v>
                </c:pt>
                <c:pt idx="9">
                  <c:v>86</c:v>
                </c:pt>
                <c:pt idx="10">
                  <c:v>86</c:v>
                </c:pt>
                <c:pt idx="11">
                  <c:v>1110</c:v>
                </c:pt>
                <c:pt idx="12">
                  <c:v>1117</c:v>
                </c:pt>
                <c:pt idx="13">
                  <c:v>1134</c:v>
                </c:pt>
                <c:pt idx="14">
                  <c:v>1141</c:v>
                </c:pt>
                <c:pt idx="15">
                  <c:v>3585</c:v>
                </c:pt>
                <c:pt idx="16">
                  <c:v>4985</c:v>
                </c:pt>
                <c:pt idx="17">
                  <c:v>4986</c:v>
                </c:pt>
                <c:pt idx="18">
                  <c:v>4986</c:v>
                </c:pt>
                <c:pt idx="19">
                  <c:v>5311</c:v>
                </c:pt>
                <c:pt idx="20">
                  <c:v>6145</c:v>
                </c:pt>
                <c:pt idx="21">
                  <c:v>6169</c:v>
                </c:pt>
                <c:pt idx="22">
                  <c:v>7323</c:v>
                </c:pt>
                <c:pt idx="23">
                  <c:v>7324</c:v>
                </c:pt>
                <c:pt idx="24">
                  <c:v>7355</c:v>
                </c:pt>
                <c:pt idx="25">
                  <c:v>8682</c:v>
                </c:pt>
                <c:pt idx="26">
                  <c:v>8699</c:v>
                </c:pt>
                <c:pt idx="27">
                  <c:v>8893</c:v>
                </c:pt>
                <c:pt idx="28">
                  <c:v>8904</c:v>
                </c:pt>
                <c:pt idx="29">
                  <c:v>9819</c:v>
                </c:pt>
                <c:pt idx="30">
                  <c:v>9971</c:v>
                </c:pt>
                <c:pt idx="31">
                  <c:v>9978</c:v>
                </c:pt>
                <c:pt idx="32">
                  <c:v>9978</c:v>
                </c:pt>
                <c:pt idx="33">
                  <c:v>10160</c:v>
                </c:pt>
                <c:pt idx="34">
                  <c:v>11019</c:v>
                </c:pt>
                <c:pt idx="35">
                  <c:v>11033</c:v>
                </c:pt>
                <c:pt idx="36">
                  <c:v>11109</c:v>
                </c:pt>
                <c:pt idx="37">
                  <c:v>11150</c:v>
                </c:pt>
                <c:pt idx="38">
                  <c:v>11181</c:v>
                </c:pt>
                <c:pt idx="39">
                  <c:v>11199</c:v>
                </c:pt>
                <c:pt idx="40">
                  <c:v>11268</c:v>
                </c:pt>
                <c:pt idx="41">
                  <c:v>11369</c:v>
                </c:pt>
                <c:pt idx="42">
                  <c:v>12875</c:v>
                </c:pt>
                <c:pt idx="43">
                  <c:v>13588</c:v>
                </c:pt>
                <c:pt idx="44">
                  <c:v>13726</c:v>
                </c:pt>
                <c:pt idx="45">
                  <c:v>14760</c:v>
                </c:pt>
                <c:pt idx="46">
                  <c:v>14767</c:v>
                </c:pt>
                <c:pt idx="47">
                  <c:v>14874</c:v>
                </c:pt>
                <c:pt idx="48">
                  <c:v>14964</c:v>
                </c:pt>
                <c:pt idx="49">
                  <c:v>15033</c:v>
                </c:pt>
                <c:pt idx="50">
                  <c:v>16167</c:v>
                </c:pt>
                <c:pt idx="51">
                  <c:v>18726</c:v>
                </c:pt>
                <c:pt idx="52">
                  <c:v>19905</c:v>
                </c:pt>
                <c:pt idx="53">
                  <c:v>19957</c:v>
                </c:pt>
                <c:pt idx="54">
                  <c:v>20009</c:v>
                </c:pt>
                <c:pt idx="55">
                  <c:v>20015</c:v>
                </c:pt>
                <c:pt idx="56">
                  <c:v>20016</c:v>
                </c:pt>
                <c:pt idx="57">
                  <c:v>22529</c:v>
                </c:pt>
                <c:pt idx="58">
                  <c:v>22726</c:v>
                </c:pt>
                <c:pt idx="59">
                  <c:v>22585</c:v>
                </c:pt>
                <c:pt idx="60">
                  <c:v>26353</c:v>
                </c:pt>
                <c:pt idx="61">
                  <c:v>26550</c:v>
                </c:pt>
                <c:pt idx="62">
                  <c:v>27563</c:v>
                </c:pt>
                <c:pt idx="63">
                  <c:v>27636</c:v>
                </c:pt>
                <c:pt idx="64">
                  <c:v>27753</c:v>
                </c:pt>
              </c:numCache>
            </c:numRef>
          </c:xVal>
          <c:yVal>
            <c:numRef>
              <c:f>Active!$O$21:$O$800</c:f>
              <c:numCache>
                <c:formatCode>General</c:formatCode>
                <c:ptCount val="780"/>
                <c:pt idx="0">
                  <c:v>-4.1749635224611937E-4</c:v>
                </c:pt>
                <c:pt idx="1">
                  <c:v>-4.1749635224611937E-4</c:v>
                </c:pt>
                <c:pt idx="2">
                  <c:v>-4.1749635224611937E-4</c:v>
                </c:pt>
                <c:pt idx="3">
                  <c:v>-4.3944519364149228E-4</c:v>
                </c:pt>
                <c:pt idx="4">
                  <c:v>-4.3944519364149228E-4</c:v>
                </c:pt>
                <c:pt idx="5">
                  <c:v>-4.3944519364149228E-4</c:v>
                </c:pt>
                <c:pt idx="6">
                  <c:v>-4.5848515244229768E-4</c:v>
                </c:pt>
                <c:pt idx="7">
                  <c:v>-4.5848515244229768E-4</c:v>
                </c:pt>
                <c:pt idx="8">
                  <c:v>-4.6218736665356539E-4</c:v>
                </c:pt>
                <c:pt idx="9">
                  <c:v>-4.6218736665356539E-4</c:v>
                </c:pt>
                <c:pt idx="10">
                  <c:v>-4.6218736665356539E-4</c:v>
                </c:pt>
                <c:pt idx="11">
                  <c:v>-7.329778918205754E-4</c:v>
                </c:pt>
                <c:pt idx="12">
                  <c:v>-7.3482899892620931E-4</c:v>
                </c:pt>
                <c:pt idx="13">
                  <c:v>-7.3932454475417729E-4</c:v>
                </c:pt>
                <c:pt idx="14">
                  <c:v>-7.4117565185981109E-4</c:v>
                </c:pt>
                <c:pt idx="15">
                  <c:v>-1.3874764755982608E-3</c:v>
                </c:pt>
                <c:pt idx="16">
                  <c:v>-1.7576978967250325E-3</c:v>
                </c:pt>
                <c:pt idx="17">
                  <c:v>-1.757962340597266E-3</c:v>
                </c:pt>
                <c:pt idx="18">
                  <c:v>-1.757962340597266E-3</c:v>
                </c:pt>
                <c:pt idx="19">
                  <c:v>-1.8439065990731235E-3</c:v>
                </c:pt>
                <c:pt idx="20">
                  <c:v>-2.0644527885157861E-3</c:v>
                </c:pt>
                <c:pt idx="21">
                  <c:v>-2.0707994414493878E-3</c:v>
                </c:pt>
                <c:pt idx="22">
                  <c:v>-2.3759676700067407E-3</c:v>
                </c:pt>
                <c:pt idx="23">
                  <c:v>-2.3762321138789746E-3</c:v>
                </c:pt>
                <c:pt idx="24">
                  <c:v>-2.3844298739182099E-3</c:v>
                </c:pt>
                <c:pt idx="25">
                  <c:v>-2.7353468923719429E-3</c:v>
                </c:pt>
                <c:pt idx="26">
                  <c:v>-2.7398424381999105E-3</c:v>
                </c:pt>
                <c:pt idx="27">
                  <c:v>-2.7911445494131918E-3</c:v>
                </c:pt>
                <c:pt idx="28">
                  <c:v>-2.7940534320077593E-3</c:v>
                </c:pt>
                <c:pt idx="29">
                  <c:v>-3.0360195751013281E-3</c:v>
                </c:pt>
                <c:pt idx="30">
                  <c:v>-3.0762150436808061E-3</c:v>
                </c:pt>
                <c:pt idx="31">
                  <c:v>-3.0780661507864397E-3</c:v>
                </c:pt>
                <c:pt idx="32">
                  <c:v>-3.0780661507864397E-3</c:v>
                </c:pt>
                <c:pt idx="33">
                  <c:v>-3.1261949355329203E-3</c:v>
                </c:pt>
                <c:pt idx="34">
                  <c:v>-3.3533522217814179E-3</c:v>
                </c:pt>
                <c:pt idx="35">
                  <c:v>-3.3570544359926855E-3</c:v>
                </c:pt>
                <c:pt idx="36">
                  <c:v>-3.3771521702824245E-3</c:v>
                </c:pt>
                <c:pt idx="37">
                  <c:v>-3.3879943690439942E-3</c:v>
                </c:pt>
                <c:pt idx="38">
                  <c:v>-3.3961921290832299E-3</c:v>
                </c:pt>
                <c:pt idx="39">
                  <c:v>-3.4009521187834315E-3</c:v>
                </c:pt>
                <c:pt idx="40">
                  <c:v>-3.4191987459675365E-3</c:v>
                </c:pt>
                <c:pt idx="41">
                  <c:v>-3.4459075770631106E-3</c:v>
                </c:pt>
                <c:pt idx="42">
                  <c:v>-3.8441600486466237E-3</c:v>
                </c:pt>
                <c:pt idx="43">
                  <c:v>-4.0327085295490438E-3</c:v>
                </c:pt>
                <c:pt idx="44">
                  <c:v>-4.0692017839172537E-3</c:v>
                </c:pt>
                <c:pt idx="45">
                  <c:v>-4.3426367478065983E-3</c:v>
                </c:pt>
                <c:pt idx="46">
                  <c:v>-4.3444878549122323E-3</c:v>
                </c:pt>
                <c:pt idx="47">
                  <c:v>-4.372783349241207E-3</c:v>
                </c:pt>
                <c:pt idx="48">
                  <c:v>-4.3965832977422136E-3</c:v>
                </c:pt>
                <c:pt idx="49">
                  <c:v>-4.4148299249263181E-3</c:v>
                </c:pt>
                <c:pt idx="50">
                  <c:v>-4.7147092760390034E-3</c:v>
                </c:pt>
                <c:pt idx="51">
                  <c:v>-5.3914211450842957E-3</c:v>
                </c:pt>
                <c:pt idx="52">
                  <c:v>-5.7032004704474833E-3</c:v>
                </c:pt>
                <c:pt idx="53">
                  <c:v>-5.7169515518036215E-3</c:v>
                </c:pt>
                <c:pt idx="54">
                  <c:v>-5.730702633159758E-3</c:v>
                </c:pt>
                <c:pt idx="55">
                  <c:v>-5.7322892963931581E-3</c:v>
                </c:pt>
                <c:pt idx="56">
                  <c:v>-5.732553740265392E-3</c:v>
                </c:pt>
                <c:pt idx="57">
                  <c:v>-6.3971011911879462E-3</c:v>
                </c:pt>
                <c:pt idx="58">
                  <c:v>-6.4491966340179292E-3</c:v>
                </c:pt>
                <c:pt idx="59">
                  <c:v>-6.4119100480330184E-3</c:v>
                </c:pt>
                <c:pt idx="60">
                  <c:v>-7.4083345586085005E-3</c:v>
                </c:pt>
                <c:pt idx="61">
                  <c:v>-7.4604300014384818E-3</c:v>
                </c:pt>
                <c:pt idx="62">
                  <c:v>-7.7283116440109243E-3</c:v>
                </c:pt>
                <c:pt idx="63">
                  <c:v>-7.7476160466839628E-3</c:v>
                </c:pt>
                <c:pt idx="64">
                  <c:v>-7.7785559797352716E-3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28-4342-81FB-C55916BF3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099496"/>
        <c:axId val="1"/>
      </c:scatterChart>
      <c:valAx>
        <c:axId val="750099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414361666330171E-2"/>
              <c:y val="0.37256525449656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099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63021807249861"/>
          <c:y val="0.91249999999999998"/>
          <c:w val="0.6768987317619223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V357 Peg - O-C Diagr.</a:t>
            </a:r>
          </a:p>
        </c:rich>
      </c:tx>
      <c:layout>
        <c:manualLayout>
          <c:xMode val="edge"/>
          <c:yMode val="edge"/>
          <c:x val="0.35714335708036493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7006025244954"/>
          <c:y val="0.234375"/>
          <c:w val="0.80952506436796934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(old)'!$F$21:$F$36</c:f>
              <c:numCache>
                <c:formatCode>General</c:formatCode>
                <c:ptCount val="16"/>
                <c:pt idx="0">
                  <c:v>-82.5</c:v>
                </c:pt>
                <c:pt idx="1">
                  <c:v>-82.5</c:v>
                </c:pt>
                <c:pt idx="2">
                  <c:v>-82.5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72.5</c:v>
                </c:pt>
                <c:pt idx="7">
                  <c:v>72.5</c:v>
                </c:pt>
                <c:pt idx="8">
                  <c:v>86.5</c:v>
                </c:pt>
                <c:pt idx="9">
                  <c:v>86.5</c:v>
                </c:pt>
                <c:pt idx="10">
                  <c:v>86.5</c:v>
                </c:pt>
                <c:pt idx="11">
                  <c:v>3585.5</c:v>
                </c:pt>
                <c:pt idx="12">
                  <c:v>4985.5</c:v>
                </c:pt>
                <c:pt idx="13">
                  <c:v>4986.5</c:v>
                </c:pt>
                <c:pt idx="14">
                  <c:v>4986.5</c:v>
                </c:pt>
                <c:pt idx="15">
                  <c:v>5311.5</c:v>
                </c:pt>
              </c:numCache>
            </c:numRef>
          </c:xVal>
          <c:yVal>
            <c:numRef>
              <c:f>'A (old)'!$H$21:$H$36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2C-4FE8-97F3-DDC07F7E65A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(old)'!$F$21:$F$36</c:f>
              <c:numCache>
                <c:formatCode>General</c:formatCode>
                <c:ptCount val="16"/>
                <c:pt idx="0">
                  <c:v>-82.5</c:v>
                </c:pt>
                <c:pt idx="1">
                  <c:v>-82.5</c:v>
                </c:pt>
                <c:pt idx="2">
                  <c:v>-82.5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72.5</c:v>
                </c:pt>
                <c:pt idx="7">
                  <c:v>72.5</c:v>
                </c:pt>
                <c:pt idx="8">
                  <c:v>86.5</c:v>
                </c:pt>
                <c:pt idx="9">
                  <c:v>86.5</c:v>
                </c:pt>
                <c:pt idx="10">
                  <c:v>86.5</c:v>
                </c:pt>
                <c:pt idx="11">
                  <c:v>3585.5</c:v>
                </c:pt>
                <c:pt idx="12">
                  <c:v>4985.5</c:v>
                </c:pt>
                <c:pt idx="13">
                  <c:v>4986.5</c:v>
                </c:pt>
                <c:pt idx="14">
                  <c:v>4986.5</c:v>
                </c:pt>
                <c:pt idx="15">
                  <c:v>5311.5</c:v>
                </c:pt>
              </c:numCache>
            </c:numRef>
          </c:xVal>
          <c:yVal>
            <c:numRef>
              <c:f>'A (old)'!$I$21:$I$36</c:f>
              <c:numCache>
                <c:formatCode>General</c:formatCode>
                <c:ptCount val="16"/>
                <c:pt idx="0">
                  <c:v>-0.14851250000356231</c:v>
                </c:pt>
                <c:pt idx="1">
                  <c:v>-0.14841249999881256</c:v>
                </c:pt>
                <c:pt idx="2">
                  <c:v>-0.1475124999997206</c:v>
                </c:pt>
                <c:pt idx="3">
                  <c:v>-0.14459750000241911</c:v>
                </c:pt>
                <c:pt idx="4">
                  <c:v>-0.14429750000272179</c:v>
                </c:pt>
                <c:pt idx="5">
                  <c:v>-0.144197500005248</c:v>
                </c:pt>
                <c:pt idx="6">
                  <c:v>-0.14533749999827705</c:v>
                </c:pt>
                <c:pt idx="7">
                  <c:v>-0.14493750000110595</c:v>
                </c:pt>
                <c:pt idx="8">
                  <c:v>-0.1424674999943818</c:v>
                </c:pt>
                <c:pt idx="9">
                  <c:v>-0.14236749999690801</c:v>
                </c:pt>
                <c:pt idx="10">
                  <c:v>-0.14206749999721069</c:v>
                </c:pt>
                <c:pt idx="11">
                  <c:v>-3.5172500000044238E-2</c:v>
                </c:pt>
                <c:pt idx="12">
                  <c:v>9.227499998814892E-3</c:v>
                </c:pt>
                <c:pt idx="13">
                  <c:v>7.9325000042445026E-3</c:v>
                </c:pt>
                <c:pt idx="14">
                  <c:v>7.9325000042445026E-3</c:v>
                </c:pt>
                <c:pt idx="15">
                  <c:v>1.7357500000798609E-2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2C-4FE8-97F3-DDC07F7E65A3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(old)'!$F$21:$F$36</c:f>
              <c:numCache>
                <c:formatCode>General</c:formatCode>
                <c:ptCount val="16"/>
                <c:pt idx="0">
                  <c:v>-82.5</c:v>
                </c:pt>
                <c:pt idx="1">
                  <c:v>-82.5</c:v>
                </c:pt>
                <c:pt idx="2">
                  <c:v>-82.5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72.5</c:v>
                </c:pt>
                <c:pt idx="7">
                  <c:v>72.5</c:v>
                </c:pt>
                <c:pt idx="8">
                  <c:v>86.5</c:v>
                </c:pt>
                <c:pt idx="9">
                  <c:v>86.5</c:v>
                </c:pt>
                <c:pt idx="10">
                  <c:v>86.5</c:v>
                </c:pt>
                <c:pt idx="11">
                  <c:v>3585.5</c:v>
                </c:pt>
                <c:pt idx="12">
                  <c:v>4985.5</c:v>
                </c:pt>
                <c:pt idx="13">
                  <c:v>4986.5</c:v>
                </c:pt>
                <c:pt idx="14">
                  <c:v>4986.5</c:v>
                </c:pt>
                <c:pt idx="15">
                  <c:v>5311.5</c:v>
                </c:pt>
              </c:numCache>
            </c:numRef>
          </c:xVal>
          <c:yVal>
            <c:numRef>
              <c:f>'A (old)'!$J$21:$J$36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2C-4FE8-97F3-DDC07F7E65A3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(old)'!$F$21:$F$36</c:f>
              <c:numCache>
                <c:formatCode>General</c:formatCode>
                <c:ptCount val="16"/>
                <c:pt idx="0">
                  <c:v>-82.5</c:v>
                </c:pt>
                <c:pt idx="1">
                  <c:v>-82.5</c:v>
                </c:pt>
                <c:pt idx="2">
                  <c:v>-82.5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72.5</c:v>
                </c:pt>
                <c:pt idx="7">
                  <c:v>72.5</c:v>
                </c:pt>
                <c:pt idx="8">
                  <c:v>86.5</c:v>
                </c:pt>
                <c:pt idx="9">
                  <c:v>86.5</c:v>
                </c:pt>
                <c:pt idx="10">
                  <c:v>86.5</c:v>
                </c:pt>
                <c:pt idx="11">
                  <c:v>3585.5</c:v>
                </c:pt>
                <c:pt idx="12">
                  <c:v>4985.5</c:v>
                </c:pt>
                <c:pt idx="13">
                  <c:v>4986.5</c:v>
                </c:pt>
                <c:pt idx="14">
                  <c:v>4986.5</c:v>
                </c:pt>
                <c:pt idx="15">
                  <c:v>5311.5</c:v>
                </c:pt>
              </c:numCache>
            </c:numRef>
          </c:xVal>
          <c:yVal>
            <c:numRef>
              <c:f>'A (old)'!$K$21:$K$36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2C-4FE8-97F3-DDC07F7E65A3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(old)'!$F$21:$F$36</c:f>
              <c:numCache>
                <c:formatCode>General</c:formatCode>
                <c:ptCount val="16"/>
                <c:pt idx="0">
                  <c:v>-82.5</c:v>
                </c:pt>
                <c:pt idx="1">
                  <c:v>-82.5</c:v>
                </c:pt>
                <c:pt idx="2">
                  <c:v>-82.5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72.5</c:v>
                </c:pt>
                <c:pt idx="7">
                  <c:v>72.5</c:v>
                </c:pt>
                <c:pt idx="8">
                  <c:v>86.5</c:v>
                </c:pt>
                <c:pt idx="9">
                  <c:v>86.5</c:v>
                </c:pt>
                <c:pt idx="10">
                  <c:v>86.5</c:v>
                </c:pt>
                <c:pt idx="11">
                  <c:v>3585.5</c:v>
                </c:pt>
                <c:pt idx="12">
                  <c:v>4985.5</c:v>
                </c:pt>
                <c:pt idx="13">
                  <c:v>4986.5</c:v>
                </c:pt>
                <c:pt idx="14">
                  <c:v>4986.5</c:v>
                </c:pt>
                <c:pt idx="15">
                  <c:v>5311.5</c:v>
                </c:pt>
              </c:numCache>
            </c:numRef>
          </c:xVal>
          <c:yVal>
            <c:numRef>
              <c:f>'A (old)'!$L$21:$L$36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2C-4FE8-97F3-DDC07F7E65A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(old)'!$F$21:$F$36</c:f>
              <c:numCache>
                <c:formatCode>General</c:formatCode>
                <c:ptCount val="16"/>
                <c:pt idx="0">
                  <c:v>-82.5</c:v>
                </c:pt>
                <c:pt idx="1">
                  <c:v>-82.5</c:v>
                </c:pt>
                <c:pt idx="2">
                  <c:v>-82.5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72.5</c:v>
                </c:pt>
                <c:pt idx="7">
                  <c:v>72.5</c:v>
                </c:pt>
                <c:pt idx="8">
                  <c:v>86.5</c:v>
                </c:pt>
                <c:pt idx="9">
                  <c:v>86.5</c:v>
                </c:pt>
                <c:pt idx="10">
                  <c:v>86.5</c:v>
                </c:pt>
                <c:pt idx="11">
                  <c:v>3585.5</c:v>
                </c:pt>
                <c:pt idx="12">
                  <c:v>4985.5</c:v>
                </c:pt>
                <c:pt idx="13">
                  <c:v>4986.5</c:v>
                </c:pt>
                <c:pt idx="14">
                  <c:v>4986.5</c:v>
                </c:pt>
                <c:pt idx="15">
                  <c:v>5311.5</c:v>
                </c:pt>
              </c:numCache>
            </c:numRef>
          </c:xVal>
          <c:yVal>
            <c:numRef>
              <c:f>'A (old)'!$M$21:$M$36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2C-4FE8-97F3-DDC07F7E65A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(old)'!$F$21:$F$36</c:f>
              <c:numCache>
                <c:formatCode>General</c:formatCode>
                <c:ptCount val="16"/>
                <c:pt idx="0">
                  <c:v>-82.5</c:v>
                </c:pt>
                <c:pt idx="1">
                  <c:v>-82.5</c:v>
                </c:pt>
                <c:pt idx="2">
                  <c:v>-82.5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72.5</c:v>
                </c:pt>
                <c:pt idx="7">
                  <c:v>72.5</c:v>
                </c:pt>
                <c:pt idx="8">
                  <c:v>86.5</c:v>
                </c:pt>
                <c:pt idx="9">
                  <c:v>86.5</c:v>
                </c:pt>
                <c:pt idx="10">
                  <c:v>86.5</c:v>
                </c:pt>
                <c:pt idx="11">
                  <c:v>3585.5</c:v>
                </c:pt>
                <c:pt idx="12">
                  <c:v>4985.5</c:v>
                </c:pt>
                <c:pt idx="13">
                  <c:v>4986.5</c:v>
                </c:pt>
                <c:pt idx="14">
                  <c:v>4986.5</c:v>
                </c:pt>
                <c:pt idx="15">
                  <c:v>5311.5</c:v>
                </c:pt>
              </c:numCache>
            </c:numRef>
          </c:xVal>
          <c:yVal>
            <c:numRef>
              <c:f>'A (old)'!$N$21:$N$36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2C-4FE8-97F3-DDC07F7E65A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(old)'!$F$21:$F$36</c:f>
              <c:numCache>
                <c:formatCode>General</c:formatCode>
                <c:ptCount val="16"/>
                <c:pt idx="0">
                  <c:v>-82.5</c:v>
                </c:pt>
                <c:pt idx="1">
                  <c:v>-82.5</c:v>
                </c:pt>
                <c:pt idx="2">
                  <c:v>-82.5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72.5</c:v>
                </c:pt>
                <c:pt idx="7">
                  <c:v>72.5</c:v>
                </c:pt>
                <c:pt idx="8">
                  <c:v>86.5</c:v>
                </c:pt>
                <c:pt idx="9">
                  <c:v>86.5</c:v>
                </c:pt>
                <c:pt idx="10">
                  <c:v>86.5</c:v>
                </c:pt>
                <c:pt idx="11">
                  <c:v>3585.5</c:v>
                </c:pt>
                <c:pt idx="12">
                  <c:v>4985.5</c:v>
                </c:pt>
                <c:pt idx="13">
                  <c:v>4986.5</c:v>
                </c:pt>
                <c:pt idx="14">
                  <c:v>4986.5</c:v>
                </c:pt>
                <c:pt idx="15">
                  <c:v>5311.5</c:v>
                </c:pt>
              </c:numCache>
            </c:numRef>
          </c:xVal>
          <c:yVal>
            <c:numRef>
              <c:f>'A (old)'!$O$21:$O$36</c:f>
              <c:numCache>
                <c:formatCode>General</c:formatCode>
                <c:ptCount val="16"/>
                <c:pt idx="0">
                  <c:v>-0.1479531893850318</c:v>
                </c:pt>
                <c:pt idx="1">
                  <c:v>-0.1479531893850318</c:v>
                </c:pt>
                <c:pt idx="2">
                  <c:v>-0.1479531893850318</c:v>
                </c:pt>
                <c:pt idx="3">
                  <c:v>-0.14539831666442074</c:v>
                </c:pt>
                <c:pt idx="4">
                  <c:v>-0.14539831666442074</c:v>
                </c:pt>
                <c:pt idx="5">
                  <c:v>-0.14539831666442074</c:v>
                </c:pt>
                <c:pt idx="6">
                  <c:v>-0.14318204153328826</c:v>
                </c:pt>
                <c:pt idx="7">
                  <c:v>-0.14318204153328826</c:v>
                </c:pt>
                <c:pt idx="8">
                  <c:v>-0.14275109914667916</c:v>
                </c:pt>
                <c:pt idx="9">
                  <c:v>-0.14275109914667916</c:v>
                </c:pt>
                <c:pt idx="10">
                  <c:v>-0.14275109914667916</c:v>
                </c:pt>
                <c:pt idx="11">
                  <c:v>-3.5046284093449162E-2</c:v>
                </c:pt>
                <c:pt idx="12">
                  <c:v>8.0479545674602415E-3</c:v>
                </c:pt>
                <c:pt idx="13">
                  <c:v>8.0787361665037305E-3</c:v>
                </c:pt>
                <c:pt idx="14">
                  <c:v>8.0787361665037305E-3</c:v>
                </c:pt>
                <c:pt idx="15">
                  <c:v>1.8082755855643423E-2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2C-4FE8-97F3-DDC07F7E6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0480"/>
        <c:axId val="1"/>
      </c:scatterChart>
      <c:valAx>
        <c:axId val="750100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6115068949716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80952380952382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04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349239678373534"/>
          <c:y val="0.91249999999999998"/>
          <c:w val="0.87460467441569811"/>
          <c:h val="0.97499999999999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18</xdr:col>
      <xdr:colOff>600075</xdr:colOff>
      <xdr:row>18</xdr:row>
      <xdr:rowOff>95250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0A6EFEE7-8D83-B7F8-B846-990298895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69060C6-4845-7877-B744-36C0D180F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855" TargetMode="External"/><Relationship Id="rId13" Type="http://schemas.openxmlformats.org/officeDocument/2006/relationships/hyperlink" Target="http://www.konkoly.hu/cgi-bin/IBVS?5282" TargetMode="External"/><Relationship Id="rId18" Type="http://schemas.openxmlformats.org/officeDocument/2006/relationships/hyperlink" Target="http://www.konkoly.hu/cgi-bin/IBVS?5623" TargetMode="External"/><Relationship Id="rId26" Type="http://schemas.openxmlformats.org/officeDocument/2006/relationships/hyperlink" Target="http://www.aavso.org/sites/default/files/jaavso/v36n2/171.pdf" TargetMode="External"/><Relationship Id="rId39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4855" TargetMode="External"/><Relationship Id="rId21" Type="http://schemas.openxmlformats.org/officeDocument/2006/relationships/hyperlink" Target="http://www.konkoly.hu/cgi-bin/IBVS?5843" TargetMode="External"/><Relationship Id="rId34" Type="http://schemas.openxmlformats.org/officeDocument/2006/relationships/hyperlink" Target="http://www.konkoly.hu/cgi-bin/IBVS?5887" TargetMode="External"/><Relationship Id="rId42" Type="http://schemas.openxmlformats.org/officeDocument/2006/relationships/hyperlink" Target="http://www.konkoly.hu/cgi-bin/IBVS?5980" TargetMode="External"/><Relationship Id="rId7" Type="http://schemas.openxmlformats.org/officeDocument/2006/relationships/hyperlink" Target="http://www.konkoly.hu/cgi-bin/IBVS?4855" TargetMode="External"/><Relationship Id="rId12" Type="http://schemas.openxmlformats.org/officeDocument/2006/relationships/hyperlink" Target="http://www.konkoly.hu/cgi-bin/IBVS?5282" TargetMode="External"/><Relationship Id="rId17" Type="http://schemas.openxmlformats.org/officeDocument/2006/relationships/hyperlink" Target="http://www.konkoly.hu/cgi-bin/IBVS?5623" TargetMode="External"/><Relationship Id="rId25" Type="http://schemas.openxmlformats.org/officeDocument/2006/relationships/hyperlink" Target="http://www.aavso.org/sites/default/files/jaavso/v36n2/171.pdf" TargetMode="External"/><Relationship Id="rId33" Type="http://schemas.openxmlformats.org/officeDocument/2006/relationships/hyperlink" Target="http://www.konkoly.hu/cgi-bin/IBVS?5887" TargetMode="External"/><Relationship Id="rId38" Type="http://schemas.openxmlformats.org/officeDocument/2006/relationships/hyperlink" Target="http://www.konkoly.hu/cgi-bin/IBVS?6044" TargetMode="External"/><Relationship Id="rId2" Type="http://schemas.openxmlformats.org/officeDocument/2006/relationships/hyperlink" Target="http://www.konkoly.hu/cgi-bin/IBVS?4855" TargetMode="External"/><Relationship Id="rId16" Type="http://schemas.openxmlformats.org/officeDocument/2006/relationships/hyperlink" Target="http://www.konkoly.hu/cgi-bin/IBVS?5407" TargetMode="External"/><Relationship Id="rId20" Type="http://schemas.openxmlformats.org/officeDocument/2006/relationships/hyperlink" Target="http://www.konkoly.hu/cgi-bin/IBVS?5843" TargetMode="External"/><Relationship Id="rId29" Type="http://schemas.openxmlformats.org/officeDocument/2006/relationships/hyperlink" Target="http://www.konkoly.hu/cgi-bin/IBVS?5917" TargetMode="External"/><Relationship Id="rId41" Type="http://schemas.openxmlformats.org/officeDocument/2006/relationships/hyperlink" Target="http://www.konkoly.hu/cgi-bin/IBVS?5980" TargetMode="External"/><Relationship Id="rId1" Type="http://schemas.openxmlformats.org/officeDocument/2006/relationships/hyperlink" Target="http://www.konkoly.hu/cgi-bin/IBVS?4855" TargetMode="External"/><Relationship Id="rId6" Type="http://schemas.openxmlformats.org/officeDocument/2006/relationships/hyperlink" Target="http://www.konkoly.hu/cgi-bin/IBVS?4855" TargetMode="External"/><Relationship Id="rId11" Type="http://schemas.openxmlformats.org/officeDocument/2006/relationships/hyperlink" Target="http://www.konkoly.hu/cgi-bin/IBVS?4855" TargetMode="External"/><Relationship Id="rId24" Type="http://schemas.openxmlformats.org/officeDocument/2006/relationships/hyperlink" Target="http://www.konkoly.hu/cgi-bin/IBVS?5777" TargetMode="External"/><Relationship Id="rId32" Type="http://schemas.openxmlformats.org/officeDocument/2006/relationships/hyperlink" Target="http://www.konkoly.hu/cgi-bin/IBVS?5887" TargetMode="External"/><Relationship Id="rId37" Type="http://schemas.openxmlformats.org/officeDocument/2006/relationships/hyperlink" Target="http://www.konkoly.hu/cgi-bin/IBVS?6044" TargetMode="External"/><Relationship Id="rId40" Type="http://schemas.openxmlformats.org/officeDocument/2006/relationships/hyperlink" Target="http://vsolj.cetus-net.org/no46.pdf" TargetMode="External"/><Relationship Id="rId5" Type="http://schemas.openxmlformats.org/officeDocument/2006/relationships/hyperlink" Target="http://www.konkoly.hu/cgi-bin/IBVS?4855" TargetMode="External"/><Relationship Id="rId15" Type="http://schemas.openxmlformats.org/officeDocument/2006/relationships/hyperlink" Target="http://www.konkoly.hu/cgi-bin/IBVS?5282" TargetMode="External"/><Relationship Id="rId23" Type="http://schemas.openxmlformats.org/officeDocument/2006/relationships/hyperlink" Target="http://www.bav-astro.de/sfs/BAVM_link.php?BAVMnr=183" TargetMode="External"/><Relationship Id="rId28" Type="http://schemas.openxmlformats.org/officeDocument/2006/relationships/hyperlink" Target="http://www.aavso.org/sites/default/files/jaavso/v36n2/171.pdf" TargetMode="External"/><Relationship Id="rId36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www.konkoly.hu/cgi-bin/IBVS?4855" TargetMode="External"/><Relationship Id="rId19" Type="http://schemas.openxmlformats.org/officeDocument/2006/relationships/hyperlink" Target="http://www.konkoly.hu/cgi-bin/IBVS?5603" TargetMode="External"/><Relationship Id="rId31" Type="http://schemas.openxmlformats.org/officeDocument/2006/relationships/hyperlink" Target="http://www.konkoly.hu/cgi-bin/IBVS?5887" TargetMode="External"/><Relationship Id="rId4" Type="http://schemas.openxmlformats.org/officeDocument/2006/relationships/hyperlink" Target="http://www.konkoly.hu/cgi-bin/IBVS?4855" TargetMode="External"/><Relationship Id="rId9" Type="http://schemas.openxmlformats.org/officeDocument/2006/relationships/hyperlink" Target="http://www.konkoly.hu/cgi-bin/IBVS?4855" TargetMode="External"/><Relationship Id="rId14" Type="http://schemas.openxmlformats.org/officeDocument/2006/relationships/hyperlink" Target="http://www.konkoly.hu/cgi-bin/IBVS?5282" TargetMode="External"/><Relationship Id="rId22" Type="http://schemas.openxmlformats.org/officeDocument/2006/relationships/hyperlink" Target="http://www.konkoly.hu/cgi-bin/IBVS?5649" TargetMode="External"/><Relationship Id="rId27" Type="http://schemas.openxmlformats.org/officeDocument/2006/relationships/hyperlink" Target="http://www.konkoly.hu/cgi-bin/IBVS?5917" TargetMode="External"/><Relationship Id="rId30" Type="http://schemas.openxmlformats.org/officeDocument/2006/relationships/hyperlink" Target="http://www.konkoly.hu/cgi-bin/IBVS?5887" TargetMode="External"/><Relationship Id="rId35" Type="http://schemas.openxmlformats.org/officeDocument/2006/relationships/hyperlink" Target="http://www.konkoly.hu/cgi-bin/IBVS?5871" TargetMode="External"/><Relationship Id="rId43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"/>
  <sheetViews>
    <sheetView tabSelected="1" workbookViewId="0">
      <pane xSplit="14" ySplit="22" topLeftCell="O68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266</v>
      </c>
    </row>
    <row r="2" spans="1:6" x14ac:dyDescent="0.2">
      <c r="A2" s="1" t="s">
        <v>1</v>
      </c>
      <c r="B2" s="1" t="s">
        <v>234</v>
      </c>
    </row>
    <row r="4" spans="1:6" x14ac:dyDescent="0.2">
      <c r="A4" s="3" t="s">
        <v>2</v>
      </c>
      <c r="C4" s="4" t="s">
        <v>3</v>
      </c>
      <c r="D4" s="5" t="s">
        <v>3</v>
      </c>
    </row>
    <row r="5" spans="1:6" x14ac:dyDescent="0.2">
      <c r="A5" s="31" t="s">
        <v>235</v>
      </c>
      <c r="B5"/>
      <c r="C5" s="32">
        <v>-9.5</v>
      </c>
      <c r="D5" t="s">
        <v>236</v>
      </c>
    </row>
    <row r="6" spans="1:6" x14ac:dyDescent="0.2">
      <c r="A6" s="3" t="s">
        <v>4</v>
      </c>
    </row>
    <row r="7" spans="1:6" x14ac:dyDescent="0.2">
      <c r="A7" s="1" t="s">
        <v>5</v>
      </c>
      <c r="C7" s="76">
        <v>51489.4591</v>
      </c>
    </row>
    <row r="8" spans="1:6" x14ac:dyDescent="0.2">
      <c r="A8" s="1" t="s">
        <v>6</v>
      </c>
      <c r="C8" s="77">
        <v>0.2892257815990435</v>
      </c>
    </row>
    <row r="9" spans="1:6" x14ac:dyDescent="0.2">
      <c r="A9" s="33" t="s">
        <v>237</v>
      </c>
      <c r="B9" s="34">
        <v>21</v>
      </c>
      <c r="C9" s="35" t="str">
        <f>"F"&amp;B9</f>
        <v>F21</v>
      </c>
      <c r="D9" s="13" t="str">
        <f>"G"&amp;B9</f>
        <v>G21</v>
      </c>
    </row>
    <row r="10" spans="1:6" x14ac:dyDescent="0.2">
      <c r="A10"/>
      <c r="B10"/>
      <c r="C10" s="7" t="s">
        <v>7</v>
      </c>
      <c r="D10" s="7" t="s">
        <v>8</v>
      </c>
      <c r="E10"/>
    </row>
    <row r="11" spans="1:6" x14ac:dyDescent="0.2">
      <c r="A11" t="s">
        <v>9</v>
      </c>
      <c r="B11"/>
      <c r="C11" s="36">
        <f ca="1">INTERCEPT(INDIRECT($D$9):G992,INDIRECT($C$9):F992)</f>
        <v>-4.3944519364149228E-4</v>
      </c>
      <c r="D11" s="8"/>
      <c r="E11"/>
    </row>
    <row r="12" spans="1:6" x14ac:dyDescent="0.2">
      <c r="A12" t="s">
        <v>10</v>
      </c>
      <c r="B12"/>
      <c r="C12" s="36">
        <f ca="1">SLOPE(INDIRECT($D$9):G992,INDIRECT($C$9):F992)</f>
        <v>-2.6444387223340826E-7</v>
      </c>
      <c r="D12" s="8"/>
      <c r="E12"/>
    </row>
    <row r="13" spans="1:6" x14ac:dyDescent="0.2">
      <c r="A13" t="s">
        <v>11</v>
      </c>
      <c r="B13"/>
      <c r="C13" s="8" t="s">
        <v>12</v>
      </c>
    </row>
    <row r="14" spans="1:6" x14ac:dyDescent="0.2">
      <c r="A14"/>
      <c r="B14"/>
      <c r="C14"/>
    </row>
    <row r="15" spans="1:6" x14ac:dyDescent="0.2">
      <c r="A15" s="37" t="s">
        <v>14</v>
      </c>
      <c r="B15"/>
      <c r="C15" s="38">
        <f ca="1">(C7+C11)+(C8+C12)*INT(MAX(F21:F3533))</f>
        <v>59516.334438162274</v>
      </c>
      <c r="E15" s="33" t="s">
        <v>238</v>
      </c>
      <c r="F15" s="32">
        <v>1</v>
      </c>
    </row>
    <row r="16" spans="1:6" x14ac:dyDescent="0.2">
      <c r="A16" s="37" t="s">
        <v>15</v>
      </c>
      <c r="B16"/>
      <c r="C16" s="38">
        <f ca="1">+C8+C12</f>
        <v>0.28922551715517125</v>
      </c>
      <c r="E16" s="33" t="s">
        <v>239</v>
      </c>
      <c r="F16" s="36">
        <f ca="1">NOW()+15018.5+$C$5/24</f>
        <v>60371.779899305555</v>
      </c>
    </row>
    <row r="17" spans="1:17" x14ac:dyDescent="0.2">
      <c r="A17" s="33" t="s">
        <v>240</v>
      </c>
      <c r="B17"/>
      <c r="C17">
        <f>COUNT(C21:C2191)</f>
        <v>65</v>
      </c>
      <c r="E17" s="33" t="s">
        <v>241</v>
      </c>
      <c r="F17" s="36">
        <f ca="1">ROUND(2*(F16-$C$7)/$C$8,0)/2+F15</f>
        <v>30711.5</v>
      </c>
    </row>
    <row r="18" spans="1:17" x14ac:dyDescent="0.2">
      <c r="A18" s="37" t="s">
        <v>16</v>
      </c>
      <c r="B18"/>
      <c r="C18" s="39">
        <f ca="1">+C15</f>
        <v>59516.334438162274</v>
      </c>
      <c r="D18" s="40">
        <f ca="1">+C16</f>
        <v>0.28922551715517125</v>
      </c>
      <c r="E18" s="33" t="s">
        <v>242</v>
      </c>
      <c r="F18" s="13">
        <f ca="1">ROUND(2*(F16-$C$15)/$C$16,0)/2+F15</f>
        <v>2958.5</v>
      </c>
    </row>
    <row r="19" spans="1:17" x14ac:dyDescent="0.2">
      <c r="E19" s="33" t="s">
        <v>243</v>
      </c>
      <c r="F19" s="41">
        <f ca="1">+$C$15+$C$16*F18-15018.5-$C$5/24</f>
        <v>45353.903963999182</v>
      </c>
    </row>
    <row r="20" spans="1:17" x14ac:dyDescent="0.2">
      <c r="A20" s="7" t="s">
        <v>17</v>
      </c>
      <c r="B20" s="7" t="s">
        <v>18</v>
      </c>
      <c r="C20" s="7" t="s">
        <v>19</v>
      </c>
      <c r="D20" s="7" t="s">
        <v>20</v>
      </c>
      <c r="E20" s="7" t="s">
        <v>21</v>
      </c>
      <c r="F20" s="7" t="s">
        <v>22</v>
      </c>
      <c r="G20" s="7" t="s">
        <v>23</v>
      </c>
      <c r="H20" s="11" t="s">
        <v>47</v>
      </c>
      <c r="I20" s="11" t="s">
        <v>50</v>
      </c>
      <c r="J20" s="11" t="s">
        <v>44</v>
      </c>
      <c r="K20" s="11" t="s">
        <v>42</v>
      </c>
      <c r="L20" s="11" t="s">
        <v>28</v>
      </c>
      <c r="M20" s="11" t="s">
        <v>29</v>
      </c>
      <c r="N20" s="11" t="s">
        <v>30</v>
      </c>
      <c r="O20" s="11" t="s">
        <v>31</v>
      </c>
      <c r="P20" s="11" t="s">
        <v>32</v>
      </c>
      <c r="Q20" s="7" t="s">
        <v>33</v>
      </c>
    </row>
    <row r="21" spans="1:17" x14ac:dyDescent="0.2">
      <c r="A21" s="6" t="s">
        <v>34</v>
      </c>
      <c r="B21" s="12" t="s">
        <v>35</v>
      </c>
      <c r="C21" s="6">
        <v>51465.451999999997</v>
      </c>
      <c r="D21" s="6">
        <v>2.9999999999999997E-4</v>
      </c>
      <c r="E21" s="1">
        <f t="shared" ref="E21:E52" si="0">+(C21-C$7)/C$8</f>
        <v>-83.004702648824761</v>
      </c>
      <c r="F21" s="1">
        <f t="shared" ref="F21:F52" si="1">ROUND(2*E21,0)/2</f>
        <v>-83</v>
      </c>
      <c r="G21" s="1">
        <f t="shared" ref="G21:G52" si="2">+C21-(C$7+F21*C$8)</f>
        <v>-1.3601272803498432E-3</v>
      </c>
      <c r="J21" s="1">
        <f t="shared" ref="J21:J29" si="3">G21</f>
        <v>-1.3601272803498432E-3</v>
      </c>
      <c r="O21" s="1">
        <f t="shared" ref="O21:O52" ca="1" si="4">+C$11+C$12*$F21</f>
        <v>-4.1749635224611937E-4</v>
      </c>
      <c r="Q21" s="73">
        <f t="shared" ref="Q21:Q52" si="5">+C21-15018.5</f>
        <v>36446.951999999997</v>
      </c>
    </row>
    <row r="22" spans="1:17" x14ac:dyDescent="0.2">
      <c r="A22" s="6" t="s">
        <v>34</v>
      </c>
      <c r="B22" s="12" t="s">
        <v>35</v>
      </c>
      <c r="C22" s="6">
        <v>51465.452100000002</v>
      </c>
      <c r="D22" s="6">
        <v>5.0000000000000001E-4</v>
      </c>
      <c r="E22" s="1">
        <f t="shared" si="0"/>
        <v>-83.004356898165199</v>
      </c>
      <c r="F22" s="1">
        <f t="shared" si="1"/>
        <v>-83</v>
      </c>
      <c r="G22" s="1">
        <f t="shared" si="2"/>
        <v>-1.2601272756000981E-3</v>
      </c>
      <c r="J22" s="1">
        <f t="shared" si="3"/>
        <v>-1.2601272756000981E-3</v>
      </c>
      <c r="O22" s="1">
        <f t="shared" ca="1" si="4"/>
        <v>-4.1749635224611937E-4</v>
      </c>
      <c r="Q22" s="73">
        <f t="shared" si="5"/>
        <v>36446.952100000002</v>
      </c>
    </row>
    <row r="23" spans="1:17" x14ac:dyDescent="0.2">
      <c r="A23" s="6" t="s">
        <v>34</v>
      </c>
      <c r="B23" s="12" t="s">
        <v>35</v>
      </c>
      <c r="C23" s="6">
        <v>51465.453000000001</v>
      </c>
      <c r="D23" s="6">
        <v>2.9999999999999997E-4</v>
      </c>
      <c r="E23" s="1">
        <f t="shared" si="0"/>
        <v>-83.0012451423801</v>
      </c>
      <c r="F23" s="1">
        <f t="shared" si="1"/>
        <v>-83</v>
      </c>
      <c r="G23" s="1">
        <f t="shared" si="2"/>
        <v>-3.6012727650813758E-4</v>
      </c>
      <c r="J23" s="1">
        <f t="shared" si="3"/>
        <v>-3.6012727650813758E-4</v>
      </c>
      <c r="O23" s="1">
        <f t="shared" ca="1" si="4"/>
        <v>-4.1749635224611937E-4</v>
      </c>
      <c r="Q23" s="73">
        <f t="shared" si="5"/>
        <v>36446.953000000001</v>
      </c>
    </row>
    <row r="24" spans="1:17" x14ac:dyDescent="0.2">
      <c r="A24" s="6" t="s">
        <v>34</v>
      </c>
      <c r="B24" s="12" t="s">
        <v>36</v>
      </c>
      <c r="C24" s="6">
        <v>51489.4591</v>
      </c>
      <c r="D24" s="6">
        <v>1E-3</v>
      </c>
      <c r="E24" s="1">
        <f t="shared" si="0"/>
        <v>0</v>
      </c>
      <c r="F24" s="1">
        <f t="shared" si="1"/>
        <v>0</v>
      </c>
      <c r="G24" s="1">
        <f t="shared" si="2"/>
        <v>0</v>
      </c>
      <c r="J24" s="1">
        <f t="shared" si="3"/>
        <v>0</v>
      </c>
      <c r="O24" s="1">
        <f t="shared" ca="1" si="4"/>
        <v>-4.3944519364149228E-4</v>
      </c>
      <c r="Q24" s="73">
        <f t="shared" si="5"/>
        <v>36470.9591</v>
      </c>
    </row>
    <row r="25" spans="1:17" x14ac:dyDescent="0.2">
      <c r="A25" s="6" t="s">
        <v>34</v>
      </c>
      <c r="B25" s="12" t="s">
        <v>36</v>
      </c>
      <c r="C25" s="6">
        <v>51489.4594</v>
      </c>
      <c r="D25" s="6">
        <v>1.1000000000000001E-3</v>
      </c>
      <c r="E25" s="1">
        <f t="shared" si="0"/>
        <v>1.0372519283678972E-3</v>
      </c>
      <c r="F25" s="1">
        <f t="shared" si="1"/>
        <v>0</v>
      </c>
      <c r="G25" s="1">
        <f t="shared" si="2"/>
        <v>2.9999999969732016E-4</v>
      </c>
      <c r="J25" s="1">
        <f t="shared" si="3"/>
        <v>2.9999999969732016E-4</v>
      </c>
      <c r="O25" s="1">
        <f t="shared" ca="1" si="4"/>
        <v>-4.3944519364149228E-4</v>
      </c>
      <c r="Q25" s="73">
        <f t="shared" si="5"/>
        <v>36470.9594</v>
      </c>
    </row>
    <row r="26" spans="1:17" x14ac:dyDescent="0.2">
      <c r="A26" s="15" t="s">
        <v>34</v>
      </c>
      <c r="B26" s="42" t="s">
        <v>36</v>
      </c>
      <c r="C26" s="15">
        <v>51489.459499999997</v>
      </c>
      <c r="D26" s="15">
        <v>5.0000000000000001E-4</v>
      </c>
      <c r="E26" s="43">
        <f t="shared" si="0"/>
        <v>1.3830025627716395E-3</v>
      </c>
      <c r="F26" s="1">
        <f t="shared" si="1"/>
        <v>0</v>
      </c>
      <c r="G26" s="1">
        <f t="shared" si="2"/>
        <v>3.9999999717110768E-4</v>
      </c>
      <c r="J26" s="1">
        <f t="shared" si="3"/>
        <v>3.9999999717110768E-4</v>
      </c>
      <c r="O26" s="1">
        <f t="shared" ca="1" si="4"/>
        <v>-4.3944519364149228E-4</v>
      </c>
      <c r="Q26" s="73">
        <f t="shared" si="5"/>
        <v>36470.959499999997</v>
      </c>
    </row>
    <row r="27" spans="1:17" x14ac:dyDescent="0.2">
      <c r="A27" s="15" t="s">
        <v>34</v>
      </c>
      <c r="B27" s="42" t="s">
        <v>36</v>
      </c>
      <c r="C27" s="15">
        <v>51510.280400000003</v>
      </c>
      <c r="D27" s="15">
        <v>1.5E-3</v>
      </c>
      <c r="E27" s="43">
        <f t="shared" si="0"/>
        <v>71.989778659732409</v>
      </c>
      <c r="F27" s="1">
        <f t="shared" si="1"/>
        <v>72</v>
      </c>
      <c r="G27" s="1">
        <f t="shared" si="2"/>
        <v>-2.9562751296907663E-3</v>
      </c>
      <c r="J27" s="1">
        <f t="shared" si="3"/>
        <v>-2.9562751296907663E-3</v>
      </c>
      <c r="O27" s="1">
        <f t="shared" ca="1" si="4"/>
        <v>-4.5848515244229768E-4</v>
      </c>
      <c r="Q27" s="73">
        <f t="shared" si="5"/>
        <v>36491.780400000003</v>
      </c>
    </row>
    <row r="28" spans="1:17" x14ac:dyDescent="0.2">
      <c r="A28" s="15" t="s">
        <v>34</v>
      </c>
      <c r="B28" s="42" t="s">
        <v>36</v>
      </c>
      <c r="C28" s="15">
        <v>51510.2808</v>
      </c>
      <c r="D28" s="15">
        <v>2.8E-3</v>
      </c>
      <c r="E28" s="43">
        <f t="shared" si="0"/>
        <v>71.991161662295184</v>
      </c>
      <c r="F28" s="1">
        <f t="shared" si="1"/>
        <v>72</v>
      </c>
      <c r="G28" s="1">
        <f t="shared" si="2"/>
        <v>-2.5562751325196587E-3</v>
      </c>
      <c r="J28" s="1">
        <f t="shared" si="3"/>
        <v>-2.5562751325196587E-3</v>
      </c>
      <c r="O28" s="1">
        <f t="shared" ca="1" si="4"/>
        <v>-4.5848515244229768E-4</v>
      </c>
      <c r="Q28" s="73">
        <f t="shared" si="5"/>
        <v>36491.7808</v>
      </c>
    </row>
    <row r="29" spans="1:17" x14ac:dyDescent="0.2">
      <c r="A29" s="15" t="s">
        <v>34</v>
      </c>
      <c r="B29" s="42" t="s">
        <v>36</v>
      </c>
      <c r="C29" s="15">
        <v>51514.332000000002</v>
      </c>
      <c r="D29" s="15">
        <v>2.9999999999999997E-4</v>
      </c>
      <c r="E29" s="43">
        <f t="shared" si="0"/>
        <v>85.998211717113307</v>
      </c>
      <c r="F29" s="1">
        <f t="shared" si="1"/>
        <v>86</v>
      </c>
      <c r="G29" s="1">
        <f t="shared" si="2"/>
        <v>-5.1721751515287906E-4</v>
      </c>
      <c r="J29" s="1">
        <f t="shared" si="3"/>
        <v>-5.1721751515287906E-4</v>
      </c>
      <c r="O29" s="1">
        <f t="shared" ca="1" si="4"/>
        <v>-4.6218736665356539E-4</v>
      </c>
      <c r="Q29" s="73">
        <f t="shared" si="5"/>
        <v>36495.832000000002</v>
      </c>
    </row>
    <row r="30" spans="1:17" x14ac:dyDescent="0.2">
      <c r="A30" s="15" t="s">
        <v>34</v>
      </c>
      <c r="B30" s="42" t="s">
        <v>36</v>
      </c>
      <c r="C30" s="15">
        <v>51514.3321</v>
      </c>
      <c r="D30" s="15">
        <v>2.9999999999999997E-4</v>
      </c>
      <c r="E30" s="43">
        <f t="shared" si="0"/>
        <v>85.998557467747716</v>
      </c>
      <c r="F30" s="1">
        <f t="shared" si="1"/>
        <v>86</v>
      </c>
      <c r="G30" s="1">
        <f t="shared" si="2"/>
        <v>-4.1721751767909154E-4</v>
      </c>
      <c r="J30" s="1">
        <f>+G30</f>
        <v>-4.1721751767909154E-4</v>
      </c>
      <c r="O30" s="1">
        <f t="shared" ca="1" si="4"/>
        <v>-4.6218736665356539E-4</v>
      </c>
      <c r="Q30" s="73">
        <f t="shared" si="5"/>
        <v>36495.8321</v>
      </c>
    </row>
    <row r="31" spans="1:17" x14ac:dyDescent="0.2">
      <c r="A31" s="15" t="s">
        <v>34</v>
      </c>
      <c r="B31" s="42" t="s">
        <v>36</v>
      </c>
      <c r="C31" s="15">
        <v>51514.332399999999</v>
      </c>
      <c r="D31" s="15">
        <v>2.0000000000000001E-4</v>
      </c>
      <c r="E31" s="43">
        <f t="shared" si="0"/>
        <v>85.999594719676082</v>
      </c>
      <c r="F31" s="1">
        <f t="shared" si="1"/>
        <v>86</v>
      </c>
      <c r="G31" s="1">
        <f t="shared" si="2"/>
        <v>-1.1721751798177138E-4</v>
      </c>
      <c r="J31" s="1">
        <f>G31</f>
        <v>-1.1721751798177138E-4</v>
      </c>
      <c r="O31" s="1">
        <f t="shared" ca="1" si="4"/>
        <v>-4.6218736665356539E-4</v>
      </c>
      <c r="Q31" s="73">
        <f t="shared" si="5"/>
        <v>36495.832399999999</v>
      </c>
    </row>
    <row r="32" spans="1:17" x14ac:dyDescent="0.2">
      <c r="A32" s="15" t="s">
        <v>244</v>
      </c>
      <c r="B32" s="42" t="s">
        <v>35</v>
      </c>
      <c r="C32" s="15">
        <v>51810.498599999999</v>
      </c>
      <c r="D32" s="15">
        <v>4.0000000000000002E-4</v>
      </c>
      <c r="E32" s="43">
        <f t="shared" si="0"/>
        <v>1109.9961359774597</v>
      </c>
      <c r="F32" s="1">
        <f t="shared" si="1"/>
        <v>1110</v>
      </c>
      <c r="G32" s="1">
        <f t="shared" si="2"/>
        <v>-1.1175749386893585E-3</v>
      </c>
      <c r="J32" s="1">
        <f t="shared" ref="J32:J39" si="6">+G32</f>
        <v>-1.1175749386893585E-3</v>
      </c>
      <c r="O32" s="1">
        <f t="shared" ca="1" si="4"/>
        <v>-7.329778918205754E-4</v>
      </c>
      <c r="Q32" s="73">
        <f t="shared" si="5"/>
        <v>36791.998599999999</v>
      </c>
    </row>
    <row r="33" spans="1:17" x14ac:dyDescent="0.2">
      <c r="A33" s="15" t="s">
        <v>244</v>
      </c>
      <c r="B33" s="42" t="s">
        <v>36</v>
      </c>
      <c r="C33" s="15">
        <v>51812.523300000001</v>
      </c>
      <c r="D33" s="15">
        <v>5.0000000000000001E-4</v>
      </c>
      <c r="E33" s="43">
        <f t="shared" si="0"/>
        <v>1116.9965492490837</v>
      </c>
      <c r="F33" s="1">
        <f t="shared" si="1"/>
        <v>1117</v>
      </c>
      <c r="G33" s="1">
        <f t="shared" si="2"/>
        <v>-9.9804613273590803E-4</v>
      </c>
      <c r="J33" s="1">
        <f t="shared" si="6"/>
        <v>-9.9804613273590803E-4</v>
      </c>
      <c r="O33" s="1">
        <f t="shared" ca="1" si="4"/>
        <v>-7.3482899892620931E-4</v>
      </c>
      <c r="Q33" s="73">
        <f t="shared" si="5"/>
        <v>36794.023300000001</v>
      </c>
    </row>
    <row r="34" spans="1:17" x14ac:dyDescent="0.2">
      <c r="A34" s="15" t="s">
        <v>244</v>
      </c>
      <c r="B34" s="42" t="s">
        <v>35</v>
      </c>
      <c r="C34" s="15">
        <v>51817.441200000001</v>
      </c>
      <c r="D34" s="15">
        <v>1E-3</v>
      </c>
      <c r="E34" s="43">
        <f t="shared" si="0"/>
        <v>1134.0002201279756</v>
      </c>
      <c r="F34" s="1">
        <f t="shared" si="1"/>
        <v>1134</v>
      </c>
      <c r="G34" s="1">
        <f t="shared" si="2"/>
        <v>6.3666688220109791E-5</v>
      </c>
      <c r="J34" s="1">
        <f t="shared" si="6"/>
        <v>6.3666688220109791E-5</v>
      </c>
      <c r="O34" s="1">
        <f t="shared" ca="1" si="4"/>
        <v>-7.3932454475417729E-4</v>
      </c>
      <c r="Q34" s="73">
        <f t="shared" si="5"/>
        <v>36798.941200000001</v>
      </c>
    </row>
    <row r="35" spans="1:17" x14ac:dyDescent="0.2">
      <c r="A35" s="15" t="s">
        <v>244</v>
      </c>
      <c r="B35" s="42" t="s">
        <v>36</v>
      </c>
      <c r="C35" s="15">
        <v>51819.466200000003</v>
      </c>
      <c r="D35" s="15">
        <v>1E-3</v>
      </c>
      <c r="E35" s="43">
        <f t="shared" si="0"/>
        <v>1141.0016706515278</v>
      </c>
      <c r="F35" s="1">
        <f t="shared" si="1"/>
        <v>1141</v>
      </c>
      <c r="G35" s="1">
        <f t="shared" si="2"/>
        <v>4.8319549387088045E-4</v>
      </c>
      <c r="J35" s="1">
        <f t="shared" si="6"/>
        <v>4.8319549387088045E-4</v>
      </c>
      <c r="O35" s="1">
        <f t="shared" ca="1" si="4"/>
        <v>-7.4117565185981109E-4</v>
      </c>
      <c r="Q35" s="73">
        <f t="shared" si="5"/>
        <v>36800.966200000003</v>
      </c>
    </row>
    <row r="36" spans="1:17" x14ac:dyDescent="0.2">
      <c r="A36" s="15" t="s">
        <v>37</v>
      </c>
      <c r="B36" s="44" t="s">
        <v>36</v>
      </c>
      <c r="C36" s="45">
        <v>52526.332600000002</v>
      </c>
      <c r="D36" s="45">
        <v>2.9999999999999997E-4</v>
      </c>
      <c r="E36" s="43">
        <f t="shared" si="0"/>
        <v>3584.9967947789291</v>
      </c>
      <c r="F36" s="1">
        <f t="shared" si="1"/>
        <v>3585</v>
      </c>
      <c r="G36" s="1">
        <f t="shared" si="2"/>
        <v>-9.2703256814274937E-4</v>
      </c>
      <c r="J36" s="1">
        <f t="shared" si="6"/>
        <v>-9.2703256814274937E-4</v>
      </c>
      <c r="O36" s="1">
        <f t="shared" ca="1" si="4"/>
        <v>-1.3874764755982608E-3</v>
      </c>
      <c r="Q36" s="73">
        <f t="shared" si="5"/>
        <v>37507.832600000002</v>
      </c>
    </row>
    <row r="37" spans="1:17" x14ac:dyDescent="0.2">
      <c r="A37" s="46" t="s">
        <v>38</v>
      </c>
      <c r="B37" s="47" t="s">
        <v>36</v>
      </c>
      <c r="C37" s="46">
        <v>52931.25</v>
      </c>
      <c r="D37" s="46">
        <v>2.0000000000000001E-4</v>
      </c>
      <c r="E37" s="43">
        <f t="shared" si="0"/>
        <v>4985.0013094571514</v>
      </c>
      <c r="F37" s="1">
        <f t="shared" si="1"/>
        <v>4985</v>
      </c>
      <c r="G37" s="1">
        <f t="shared" si="2"/>
        <v>3.787287714658305E-4</v>
      </c>
      <c r="J37" s="1">
        <f t="shared" si="6"/>
        <v>3.787287714658305E-4</v>
      </c>
      <c r="O37" s="1">
        <f t="shared" ca="1" si="4"/>
        <v>-1.7576978967250325E-3</v>
      </c>
      <c r="Q37" s="73">
        <f t="shared" si="5"/>
        <v>37912.75</v>
      </c>
    </row>
    <row r="38" spans="1:17" x14ac:dyDescent="0.2">
      <c r="A38" s="46" t="s">
        <v>38</v>
      </c>
      <c r="B38" s="47" t="s">
        <v>35</v>
      </c>
      <c r="C38" s="46">
        <v>52931.537900000003</v>
      </c>
      <c r="D38" s="46">
        <v>2.0000000000000001E-4</v>
      </c>
      <c r="E38" s="43">
        <f t="shared" si="0"/>
        <v>4985.9967255587562</v>
      </c>
      <c r="F38" s="1">
        <f t="shared" si="1"/>
        <v>4986</v>
      </c>
      <c r="G38" s="1">
        <f t="shared" si="2"/>
        <v>-9.4705283117946237E-4</v>
      </c>
      <c r="J38" s="1">
        <f t="shared" si="6"/>
        <v>-9.4705283117946237E-4</v>
      </c>
      <c r="O38" s="1">
        <f t="shared" ca="1" si="4"/>
        <v>-1.757962340597266E-3</v>
      </c>
      <c r="Q38" s="73">
        <f t="shared" si="5"/>
        <v>37913.037900000003</v>
      </c>
    </row>
    <row r="39" spans="1:17" x14ac:dyDescent="0.2">
      <c r="A39" s="46" t="s">
        <v>38</v>
      </c>
      <c r="B39" s="47" t="s">
        <v>35</v>
      </c>
      <c r="C39" s="46">
        <v>52931.537900000003</v>
      </c>
      <c r="D39" s="46">
        <v>2.0000000000000001E-4</v>
      </c>
      <c r="E39" s="43">
        <f t="shared" si="0"/>
        <v>4985.9967255587562</v>
      </c>
      <c r="F39" s="1">
        <f t="shared" si="1"/>
        <v>4986</v>
      </c>
      <c r="G39" s="1">
        <f t="shared" si="2"/>
        <v>-9.4705283117946237E-4</v>
      </c>
      <c r="J39" s="1">
        <f t="shared" si="6"/>
        <v>-9.4705283117946237E-4</v>
      </c>
      <c r="O39" s="1">
        <f t="shared" ca="1" si="4"/>
        <v>-1.757962340597266E-3</v>
      </c>
      <c r="Q39" s="73">
        <f t="shared" si="5"/>
        <v>37913.037900000003</v>
      </c>
    </row>
    <row r="40" spans="1:17" x14ac:dyDescent="0.2">
      <c r="A40" s="15" t="s">
        <v>39</v>
      </c>
      <c r="B40" s="44" t="s">
        <v>36</v>
      </c>
      <c r="C40" s="45">
        <v>53025.5357</v>
      </c>
      <c r="D40" s="15">
        <v>2.9999999999999997E-4</v>
      </c>
      <c r="E40" s="43">
        <f t="shared" si="0"/>
        <v>5310.9947235944483</v>
      </c>
      <c r="F40" s="1">
        <f t="shared" si="1"/>
        <v>5311</v>
      </c>
      <c r="G40" s="1">
        <f t="shared" si="2"/>
        <v>-1.5260725194821134E-3</v>
      </c>
      <c r="K40" s="1">
        <f>+G40</f>
        <v>-1.5260725194821134E-3</v>
      </c>
      <c r="O40" s="1">
        <f t="shared" ca="1" si="4"/>
        <v>-1.8439065990731235E-3</v>
      </c>
      <c r="Q40" s="73">
        <f t="shared" si="5"/>
        <v>38007.0357</v>
      </c>
    </row>
    <row r="41" spans="1:17" x14ac:dyDescent="0.2">
      <c r="A41" s="48" t="s">
        <v>245</v>
      </c>
      <c r="B41" s="47" t="s">
        <v>36</v>
      </c>
      <c r="C41" s="46">
        <v>53266.7474</v>
      </c>
      <c r="D41" s="46">
        <v>6.9999999999999999E-4</v>
      </c>
      <c r="E41" s="43">
        <f t="shared" si="0"/>
        <v>6144.9857276688845</v>
      </c>
      <c r="F41" s="1">
        <f t="shared" si="1"/>
        <v>6145</v>
      </c>
      <c r="G41" s="1">
        <f t="shared" si="2"/>
        <v>-4.1279261204181239E-3</v>
      </c>
      <c r="K41" s="1">
        <f>+G41</f>
        <v>-4.1279261204181239E-3</v>
      </c>
      <c r="O41" s="1">
        <f t="shared" ca="1" si="4"/>
        <v>-2.0644527885157861E-3</v>
      </c>
      <c r="Q41" s="73">
        <f t="shared" si="5"/>
        <v>38248.2474</v>
      </c>
    </row>
    <row r="42" spans="1:17" x14ac:dyDescent="0.2">
      <c r="A42" s="48" t="s">
        <v>245</v>
      </c>
      <c r="B42" s="47" t="s">
        <v>36</v>
      </c>
      <c r="C42" s="46">
        <v>53273.688399999999</v>
      </c>
      <c r="D42" s="46">
        <v>1.1000000000000001E-3</v>
      </c>
      <c r="E42" s="43">
        <f t="shared" si="0"/>
        <v>6168.9842798090986</v>
      </c>
      <c r="F42" s="1">
        <f t="shared" si="1"/>
        <v>6169</v>
      </c>
      <c r="G42" s="1">
        <f t="shared" si="2"/>
        <v>-4.5466845040209591E-3</v>
      </c>
      <c r="K42" s="1">
        <f>+G42</f>
        <v>-4.5466845040209591E-3</v>
      </c>
      <c r="O42" s="1">
        <f t="shared" ca="1" si="4"/>
        <v>-2.0707994414493878E-3</v>
      </c>
      <c r="Q42" s="73">
        <f t="shared" si="5"/>
        <v>38255.188399999999</v>
      </c>
    </row>
    <row r="43" spans="1:17" x14ac:dyDescent="0.2">
      <c r="A43" s="49" t="s">
        <v>246</v>
      </c>
      <c r="B43" s="50" t="s">
        <v>36</v>
      </c>
      <c r="C43" s="51">
        <v>53607.456700000002</v>
      </c>
      <c r="D43" s="51">
        <v>2.9999999999999997E-4</v>
      </c>
      <c r="E43" s="43">
        <f t="shared" si="0"/>
        <v>7322.9903236503415</v>
      </c>
      <c r="F43" s="1">
        <f t="shared" si="1"/>
        <v>7323</v>
      </c>
      <c r="G43" s="1">
        <f t="shared" si="2"/>
        <v>-2.798649795295205E-3</v>
      </c>
      <c r="J43" s="1">
        <f>+G43</f>
        <v>-2.798649795295205E-3</v>
      </c>
      <c r="O43" s="1">
        <f t="shared" ca="1" si="4"/>
        <v>-2.3759676700067407E-3</v>
      </c>
      <c r="Q43" s="73">
        <f t="shared" si="5"/>
        <v>38588.956700000002</v>
      </c>
    </row>
    <row r="44" spans="1:17" x14ac:dyDescent="0.2">
      <c r="A44" s="15" t="s">
        <v>247</v>
      </c>
      <c r="B44" s="42" t="s">
        <v>35</v>
      </c>
      <c r="C44" s="15">
        <v>53607.747499999998</v>
      </c>
      <c r="D44" s="15">
        <v>2.0000000000000001E-4</v>
      </c>
      <c r="E44" s="43">
        <f t="shared" si="0"/>
        <v>7323.9957665205702</v>
      </c>
      <c r="F44" s="1">
        <f t="shared" si="1"/>
        <v>7324</v>
      </c>
      <c r="G44" s="1">
        <f t="shared" si="2"/>
        <v>-1.2244313984410837E-3</v>
      </c>
      <c r="K44" s="1">
        <f>+G44</f>
        <v>-1.2244313984410837E-3</v>
      </c>
      <c r="O44" s="1">
        <f t="shared" ca="1" si="4"/>
        <v>-2.3762321138789746E-3</v>
      </c>
      <c r="Q44" s="73">
        <f t="shared" si="5"/>
        <v>38589.247499999998</v>
      </c>
    </row>
    <row r="45" spans="1:17" x14ac:dyDescent="0.2">
      <c r="A45" s="15" t="s">
        <v>247</v>
      </c>
      <c r="B45" s="42" t="s">
        <v>36</v>
      </c>
      <c r="C45" s="15">
        <v>53616.712699999996</v>
      </c>
      <c r="D45" s="15">
        <v>2.0000000000000001E-4</v>
      </c>
      <c r="E45" s="43">
        <f t="shared" si="0"/>
        <v>7354.9930031791864</v>
      </c>
      <c r="F45" s="1">
        <f t="shared" si="1"/>
        <v>7355</v>
      </c>
      <c r="G45" s="1">
        <f t="shared" si="2"/>
        <v>-2.0236609707353637E-3</v>
      </c>
      <c r="K45" s="1">
        <f>+G45</f>
        <v>-2.0236609707353637E-3</v>
      </c>
      <c r="O45" s="1">
        <f t="shared" ca="1" si="4"/>
        <v>-2.3844298739182099E-3</v>
      </c>
      <c r="Q45" s="73">
        <f t="shared" si="5"/>
        <v>38598.212699999996</v>
      </c>
    </row>
    <row r="46" spans="1:17" x14ac:dyDescent="0.2">
      <c r="A46" s="46" t="s">
        <v>248</v>
      </c>
      <c r="B46" s="50" t="s">
        <v>36</v>
      </c>
      <c r="C46" s="46">
        <v>54000.513700000003</v>
      </c>
      <c r="D46" s="46">
        <v>2.8999999999999998E-3</v>
      </c>
      <c r="E46" s="43">
        <f t="shared" si="0"/>
        <v>8681.9874290498155</v>
      </c>
      <c r="F46" s="1">
        <f t="shared" si="1"/>
        <v>8682</v>
      </c>
      <c r="G46" s="1">
        <f t="shared" si="2"/>
        <v>-3.6358428915264085E-3</v>
      </c>
      <c r="J46" s="1">
        <f>+G46</f>
        <v>-3.6358428915264085E-3</v>
      </c>
      <c r="O46" s="1">
        <f t="shared" ca="1" si="4"/>
        <v>-2.7353468923719429E-3</v>
      </c>
      <c r="Q46" s="73">
        <f t="shared" si="5"/>
        <v>38982.013700000003</v>
      </c>
    </row>
    <row r="47" spans="1:17" x14ac:dyDescent="0.2">
      <c r="A47" s="15" t="s">
        <v>249</v>
      </c>
      <c r="B47" s="42" t="s">
        <v>36</v>
      </c>
      <c r="C47" s="15">
        <v>54005.432000000001</v>
      </c>
      <c r="D47" s="15">
        <v>1E-4</v>
      </c>
      <c r="E47" s="43">
        <f t="shared" si="0"/>
        <v>8698.9924829312695</v>
      </c>
      <c r="F47" s="1">
        <f t="shared" si="1"/>
        <v>8699</v>
      </c>
      <c r="G47" s="1">
        <f t="shared" si="2"/>
        <v>-2.1741300806752406E-3</v>
      </c>
      <c r="K47" s="1">
        <f t="shared" ref="K47:K56" si="7">+G47</f>
        <v>-2.1741300806752406E-3</v>
      </c>
      <c r="O47" s="1">
        <f t="shared" ca="1" si="4"/>
        <v>-2.7398424381999105E-3</v>
      </c>
      <c r="Q47" s="73">
        <f t="shared" si="5"/>
        <v>38986.932000000001</v>
      </c>
    </row>
    <row r="48" spans="1:17" x14ac:dyDescent="0.2">
      <c r="A48" s="48" t="s">
        <v>250</v>
      </c>
      <c r="B48" s="47" t="s">
        <v>36</v>
      </c>
      <c r="C48" s="46">
        <v>54061.541899999997</v>
      </c>
      <c r="D48" s="46">
        <v>5.0000000000000001E-4</v>
      </c>
      <c r="E48" s="43">
        <f t="shared" si="0"/>
        <v>8892.9928230454225</v>
      </c>
      <c r="F48" s="1">
        <f t="shared" si="1"/>
        <v>8893</v>
      </c>
      <c r="G48" s="1">
        <f t="shared" si="2"/>
        <v>-2.075760297884699E-3</v>
      </c>
      <c r="K48" s="1">
        <f t="shared" si="7"/>
        <v>-2.075760297884699E-3</v>
      </c>
      <c r="O48" s="1">
        <f t="shared" ca="1" si="4"/>
        <v>-2.7911445494131918E-3</v>
      </c>
      <c r="Q48" s="73">
        <f t="shared" si="5"/>
        <v>39043.041899999997</v>
      </c>
    </row>
    <row r="49" spans="1:17" x14ac:dyDescent="0.2">
      <c r="A49" s="48" t="s">
        <v>250</v>
      </c>
      <c r="B49" s="47" t="s">
        <v>35</v>
      </c>
      <c r="C49" s="46">
        <v>54064.7235</v>
      </c>
      <c r="D49" s="46">
        <v>2.9999999999999997E-4</v>
      </c>
      <c r="E49" s="43">
        <f t="shared" si="0"/>
        <v>8903.9932255075164</v>
      </c>
      <c r="F49" s="1">
        <f t="shared" si="1"/>
        <v>8904</v>
      </c>
      <c r="G49" s="1">
        <f t="shared" si="2"/>
        <v>-1.9593578836065717E-3</v>
      </c>
      <c r="K49" s="1">
        <f t="shared" si="7"/>
        <v>-1.9593578836065717E-3</v>
      </c>
      <c r="O49" s="1">
        <f t="shared" ca="1" si="4"/>
        <v>-2.7940534320077593E-3</v>
      </c>
      <c r="Q49" s="73">
        <f t="shared" si="5"/>
        <v>39046.2235</v>
      </c>
    </row>
    <row r="50" spans="1:17" x14ac:dyDescent="0.2">
      <c r="A50" s="15" t="s">
        <v>247</v>
      </c>
      <c r="B50" s="42" t="s">
        <v>36</v>
      </c>
      <c r="C50" s="15">
        <v>54329.364099999999</v>
      </c>
      <c r="D50" s="15">
        <v>2.0000000000000001E-4</v>
      </c>
      <c r="E50" s="43">
        <f t="shared" si="0"/>
        <v>9818.9898020121418</v>
      </c>
      <c r="F50" s="1">
        <f t="shared" si="1"/>
        <v>9819</v>
      </c>
      <c r="G50" s="1">
        <f t="shared" si="2"/>
        <v>-2.9495210110326298E-3</v>
      </c>
      <c r="K50" s="1">
        <f t="shared" si="7"/>
        <v>-2.9495210110326298E-3</v>
      </c>
      <c r="O50" s="1">
        <f t="shared" ca="1" si="4"/>
        <v>-3.0360195751013281E-3</v>
      </c>
      <c r="Q50" s="73">
        <f t="shared" si="5"/>
        <v>39310.864099999999</v>
      </c>
    </row>
    <row r="51" spans="1:17" x14ac:dyDescent="0.2">
      <c r="A51" s="15" t="s">
        <v>251</v>
      </c>
      <c r="B51" s="42" t="s">
        <v>36</v>
      </c>
      <c r="C51" s="15">
        <v>54373.326000000001</v>
      </c>
      <c r="D51" s="15">
        <v>3.0000000000000001E-3</v>
      </c>
      <c r="E51" s="43">
        <f t="shared" si="0"/>
        <v>9970.9883539978928</v>
      </c>
      <c r="F51" s="1">
        <f t="shared" si="1"/>
        <v>9971</v>
      </c>
      <c r="G51" s="1">
        <f t="shared" si="2"/>
        <v>-3.3683240617392585E-3</v>
      </c>
      <c r="K51" s="1">
        <f t="shared" si="7"/>
        <v>-3.3683240617392585E-3</v>
      </c>
      <c r="O51" s="1">
        <f t="shared" ca="1" si="4"/>
        <v>-3.0762150436808061E-3</v>
      </c>
      <c r="Q51" s="73">
        <f t="shared" si="5"/>
        <v>39354.826000000001</v>
      </c>
    </row>
    <row r="52" spans="1:17" x14ac:dyDescent="0.2">
      <c r="A52" s="48" t="s">
        <v>250</v>
      </c>
      <c r="B52" s="47" t="s">
        <v>35</v>
      </c>
      <c r="C52" s="46">
        <v>54375.350299999998</v>
      </c>
      <c r="D52" s="46">
        <v>1E-4</v>
      </c>
      <c r="E52" s="43">
        <f t="shared" si="0"/>
        <v>9977.9873842669294</v>
      </c>
      <c r="F52" s="1">
        <f t="shared" si="1"/>
        <v>9978</v>
      </c>
      <c r="G52" s="1">
        <f t="shared" si="2"/>
        <v>-3.6487952602328733E-3</v>
      </c>
      <c r="K52" s="1">
        <f t="shared" si="7"/>
        <v>-3.6487952602328733E-3</v>
      </c>
      <c r="O52" s="1">
        <f t="shared" ca="1" si="4"/>
        <v>-3.0780661507864397E-3</v>
      </c>
      <c r="Q52" s="73">
        <f t="shared" si="5"/>
        <v>39356.850299999998</v>
      </c>
    </row>
    <row r="53" spans="1:17" x14ac:dyDescent="0.2">
      <c r="A53" s="15" t="s">
        <v>251</v>
      </c>
      <c r="B53" s="42" t="s">
        <v>35</v>
      </c>
      <c r="C53" s="15">
        <v>54375.353000000003</v>
      </c>
      <c r="D53" s="15">
        <v>2E-3</v>
      </c>
      <c r="E53" s="43">
        <f t="shared" ref="E53:E79" si="8">+(C53-C$7)/C$8</f>
        <v>9977.9967195343106</v>
      </c>
      <c r="F53" s="1">
        <f t="shared" ref="F53:F79" si="9">ROUND(2*E53,0)/2</f>
        <v>9978</v>
      </c>
      <c r="G53" s="1">
        <f t="shared" ref="G53:G79" si="10">+C53-(C$7+F53*C$8)</f>
        <v>-9.4879525568103418E-4</v>
      </c>
      <c r="K53" s="1">
        <f t="shared" si="7"/>
        <v>-9.4879525568103418E-4</v>
      </c>
      <c r="O53" s="1">
        <f t="shared" ref="O53:O79" ca="1" si="11">+C$11+C$12*$F53</f>
        <v>-3.0780661507864397E-3</v>
      </c>
      <c r="Q53" s="73">
        <f t="shared" ref="Q53:Q79" si="12">+C53-15018.5</f>
        <v>39356.853000000003</v>
      </c>
    </row>
    <row r="54" spans="1:17" x14ac:dyDescent="0.2">
      <c r="A54" s="52" t="s">
        <v>221</v>
      </c>
      <c r="B54" s="53" t="s">
        <v>35</v>
      </c>
      <c r="C54" s="52">
        <v>54427.989600000001</v>
      </c>
      <c r="D54" s="46"/>
      <c r="E54" s="43">
        <f t="shared" si="8"/>
        <v>10159.988102560352</v>
      </c>
      <c r="F54" s="1">
        <f t="shared" si="9"/>
        <v>10160</v>
      </c>
      <c r="G54" s="1">
        <f t="shared" si="10"/>
        <v>-3.4410462831147015E-3</v>
      </c>
      <c r="K54" s="1">
        <f t="shared" si="7"/>
        <v>-3.4410462831147015E-3</v>
      </c>
      <c r="O54" s="1">
        <f t="shared" ca="1" si="11"/>
        <v>-3.1261949355329203E-3</v>
      </c>
      <c r="Q54" s="73">
        <f t="shared" si="12"/>
        <v>39409.489600000001</v>
      </c>
    </row>
    <row r="55" spans="1:17" x14ac:dyDescent="0.2">
      <c r="A55" s="15" t="s">
        <v>247</v>
      </c>
      <c r="B55" s="42" t="s">
        <v>36</v>
      </c>
      <c r="C55" s="15">
        <v>54676.434500000003</v>
      </c>
      <c r="D55" s="15">
        <v>5.0000000000000001E-4</v>
      </c>
      <c r="E55" s="43">
        <f t="shared" si="8"/>
        <v>11018.987942154265</v>
      </c>
      <c r="F55" s="1">
        <f t="shared" si="9"/>
        <v>11019</v>
      </c>
      <c r="G55" s="1">
        <f t="shared" si="10"/>
        <v>-3.4874398552346975E-3</v>
      </c>
      <c r="K55" s="1">
        <f t="shared" si="7"/>
        <v>-3.4874398552346975E-3</v>
      </c>
      <c r="O55" s="1">
        <f t="shared" ca="1" si="11"/>
        <v>-3.3533522217814179E-3</v>
      </c>
      <c r="Q55" s="73">
        <f t="shared" si="12"/>
        <v>39657.934500000003</v>
      </c>
    </row>
    <row r="56" spans="1:17" x14ac:dyDescent="0.2">
      <c r="A56" s="15" t="s">
        <v>247</v>
      </c>
      <c r="B56" s="42" t="s">
        <v>36</v>
      </c>
      <c r="C56" s="15">
        <v>54680.484499999999</v>
      </c>
      <c r="D56" s="15">
        <v>2.9999999999999997E-4</v>
      </c>
      <c r="E56" s="43">
        <f t="shared" si="8"/>
        <v>11032.990843201344</v>
      </c>
      <c r="F56" s="1">
        <f t="shared" si="9"/>
        <v>11033</v>
      </c>
      <c r="G56" s="1">
        <f t="shared" si="10"/>
        <v>-2.6483822512091137E-3</v>
      </c>
      <c r="K56" s="1">
        <f t="shared" si="7"/>
        <v>-2.6483822512091137E-3</v>
      </c>
      <c r="O56" s="1">
        <f t="shared" ca="1" si="11"/>
        <v>-3.3570544359926855E-3</v>
      </c>
      <c r="Q56" s="73">
        <f t="shared" si="12"/>
        <v>39661.984499999999</v>
      </c>
    </row>
    <row r="57" spans="1:17" x14ac:dyDescent="0.2">
      <c r="A57" s="46" t="s">
        <v>252</v>
      </c>
      <c r="B57" s="47" t="s">
        <v>36</v>
      </c>
      <c r="C57" s="46">
        <v>54702.464899999999</v>
      </c>
      <c r="D57" s="46">
        <v>1E-4</v>
      </c>
      <c r="E57" s="43">
        <f t="shared" si="8"/>
        <v>11108.98821756568</v>
      </c>
      <c r="F57" s="1">
        <f t="shared" si="9"/>
        <v>11109</v>
      </c>
      <c r="G57" s="1">
        <f t="shared" si="10"/>
        <v>-3.4077837772201747E-3</v>
      </c>
      <c r="J57" s="1">
        <f>+G57</f>
        <v>-3.4077837772201747E-3</v>
      </c>
      <c r="O57" s="1">
        <f t="shared" ca="1" si="11"/>
        <v>-3.3771521702824245E-3</v>
      </c>
      <c r="Q57" s="73">
        <f t="shared" si="12"/>
        <v>39683.964899999999</v>
      </c>
    </row>
    <row r="58" spans="1:17" x14ac:dyDescent="0.2">
      <c r="A58" s="46" t="s">
        <v>252</v>
      </c>
      <c r="B58" s="47" t="s">
        <v>35</v>
      </c>
      <c r="C58" s="46">
        <v>54714.324000000001</v>
      </c>
      <c r="D58" s="46">
        <v>1E-4</v>
      </c>
      <c r="E58" s="43">
        <f t="shared" si="8"/>
        <v>11149.991132086081</v>
      </c>
      <c r="F58" s="1">
        <f t="shared" si="9"/>
        <v>11150</v>
      </c>
      <c r="G58" s="1">
        <f t="shared" si="10"/>
        <v>-2.5648293376434594E-3</v>
      </c>
      <c r="J58" s="1">
        <f>+G58</f>
        <v>-2.5648293376434594E-3</v>
      </c>
      <c r="O58" s="1">
        <f t="shared" ca="1" si="11"/>
        <v>-3.3879943690439942E-3</v>
      </c>
      <c r="Q58" s="73">
        <f t="shared" si="12"/>
        <v>39695.824000000001</v>
      </c>
    </row>
    <row r="59" spans="1:17" x14ac:dyDescent="0.2">
      <c r="A59" s="15" t="s">
        <v>252</v>
      </c>
      <c r="B59" s="42" t="s">
        <v>36</v>
      </c>
      <c r="C59" s="15">
        <v>54723.289199999999</v>
      </c>
      <c r="D59" s="15">
        <v>2.0000000000000001E-4</v>
      </c>
      <c r="E59" s="43">
        <f t="shared" si="8"/>
        <v>11180.988368744696</v>
      </c>
      <c r="F59" s="1">
        <f t="shared" si="9"/>
        <v>11181</v>
      </c>
      <c r="G59" s="1">
        <f t="shared" si="10"/>
        <v>-3.3640589099377394E-3</v>
      </c>
      <c r="J59" s="1">
        <f>+G59</f>
        <v>-3.3640589099377394E-3</v>
      </c>
      <c r="O59" s="1">
        <f t="shared" ca="1" si="11"/>
        <v>-3.3961921290832299E-3</v>
      </c>
      <c r="Q59" s="73">
        <f t="shared" si="12"/>
        <v>39704.789199999999</v>
      </c>
    </row>
    <row r="60" spans="1:17" x14ac:dyDescent="0.2">
      <c r="A60" s="46" t="s">
        <v>252</v>
      </c>
      <c r="B60" s="47" t="s">
        <v>36</v>
      </c>
      <c r="C60" s="46">
        <v>54728.494599999998</v>
      </c>
      <c r="D60" s="46">
        <v>1E-4</v>
      </c>
      <c r="E60" s="43">
        <f t="shared" si="8"/>
        <v>11198.986072722606</v>
      </c>
      <c r="F60" s="1">
        <f t="shared" si="9"/>
        <v>11199</v>
      </c>
      <c r="G60" s="1">
        <f t="shared" si="10"/>
        <v>-4.0281276887981221E-3</v>
      </c>
      <c r="J60" s="1">
        <f>+G60</f>
        <v>-4.0281276887981221E-3</v>
      </c>
      <c r="O60" s="1">
        <f t="shared" ca="1" si="11"/>
        <v>-3.4009521187834315E-3</v>
      </c>
      <c r="Q60" s="73">
        <f t="shared" si="12"/>
        <v>39709.994599999998</v>
      </c>
    </row>
    <row r="61" spans="1:17" x14ac:dyDescent="0.2">
      <c r="A61" s="46" t="s">
        <v>252</v>
      </c>
      <c r="B61" s="47" t="s">
        <v>35</v>
      </c>
      <c r="C61" s="46">
        <v>54748.451800000003</v>
      </c>
      <c r="D61" s="46">
        <v>1E-4</v>
      </c>
      <c r="E61" s="43">
        <f t="shared" si="8"/>
        <v>11267.988220074985</v>
      </c>
      <c r="F61" s="1">
        <f t="shared" si="9"/>
        <v>11268</v>
      </c>
      <c r="G61" s="1">
        <f t="shared" si="10"/>
        <v>-3.4070580222760327E-3</v>
      </c>
      <c r="J61" s="1">
        <f>+G61</f>
        <v>-3.4070580222760327E-3</v>
      </c>
      <c r="O61" s="1">
        <f t="shared" ca="1" si="11"/>
        <v>-3.4191987459675365E-3</v>
      </c>
      <c r="Q61" s="73">
        <f t="shared" si="12"/>
        <v>39729.951800000003</v>
      </c>
    </row>
    <row r="62" spans="1:17" x14ac:dyDescent="0.2">
      <c r="A62" s="46" t="s">
        <v>253</v>
      </c>
      <c r="B62" s="47" t="s">
        <v>35</v>
      </c>
      <c r="C62" s="46">
        <v>54777.661999999997</v>
      </c>
      <c r="D62" s="46">
        <v>3.0000000000000001E-3</v>
      </c>
      <c r="E62" s="43">
        <f t="shared" si="8"/>
        <v>11368.9826744369</v>
      </c>
      <c r="F62" s="1">
        <f t="shared" si="9"/>
        <v>11369</v>
      </c>
      <c r="G62" s="1">
        <f t="shared" si="10"/>
        <v>-5.0109995281673037E-3</v>
      </c>
      <c r="K62" s="1">
        <f>+G62</f>
        <v>-5.0109995281673037E-3</v>
      </c>
      <c r="O62" s="1">
        <f t="shared" ca="1" si="11"/>
        <v>-3.4459075770631106E-3</v>
      </c>
      <c r="Q62" s="73">
        <f t="shared" si="12"/>
        <v>39759.161999999997</v>
      </c>
    </row>
    <row r="63" spans="1:17" x14ac:dyDescent="0.2">
      <c r="A63" s="52" t="s">
        <v>254</v>
      </c>
      <c r="B63" s="53" t="s">
        <v>36</v>
      </c>
      <c r="C63" s="52">
        <v>55213.237800000003</v>
      </c>
      <c r="D63" s="46"/>
      <c r="E63" s="43">
        <f t="shared" si="8"/>
        <v>12874.988804291013</v>
      </c>
      <c r="F63" s="1">
        <f t="shared" si="9"/>
        <v>12875</v>
      </c>
      <c r="G63" s="1">
        <f t="shared" si="10"/>
        <v>-3.2380876800743863E-3</v>
      </c>
      <c r="K63" s="1">
        <f>+G63</f>
        <v>-3.2380876800743863E-3</v>
      </c>
      <c r="O63" s="1">
        <f t="shared" ca="1" si="11"/>
        <v>-3.8441600486466237E-3</v>
      </c>
      <c r="Q63" s="73">
        <f t="shared" si="12"/>
        <v>40194.737800000003</v>
      </c>
    </row>
    <row r="64" spans="1:17" x14ac:dyDescent="0.2">
      <c r="A64" s="52" t="s">
        <v>254</v>
      </c>
      <c r="B64" s="53" t="s">
        <v>35</v>
      </c>
      <c r="C64" s="52">
        <v>55419.455999999998</v>
      </c>
      <c r="D64" s="46"/>
      <c r="E64" s="43">
        <f t="shared" si="8"/>
        <v>13587.989557058891</v>
      </c>
      <c r="F64" s="1">
        <f t="shared" si="9"/>
        <v>13588</v>
      </c>
      <c r="G64" s="1">
        <f t="shared" si="10"/>
        <v>-3.0203678034013137E-3</v>
      </c>
      <c r="K64" s="1">
        <f>+G64</f>
        <v>-3.0203678034013137E-3</v>
      </c>
      <c r="O64" s="1">
        <f t="shared" ca="1" si="11"/>
        <v>-4.0327085295490438E-3</v>
      </c>
      <c r="Q64" s="73">
        <f t="shared" si="12"/>
        <v>40400.955999999998</v>
      </c>
    </row>
    <row r="65" spans="1:17" x14ac:dyDescent="0.2">
      <c r="A65" s="48" t="s">
        <v>255</v>
      </c>
      <c r="B65" s="48"/>
      <c r="C65" s="46">
        <v>55459.364200000004</v>
      </c>
      <c r="D65" s="46">
        <v>2.2000000000000001E-3</v>
      </c>
      <c r="E65" s="43">
        <f t="shared" si="8"/>
        <v>13725.972415223763</v>
      </c>
      <c r="F65" s="1">
        <f t="shared" si="9"/>
        <v>13726</v>
      </c>
      <c r="G65" s="1">
        <f t="shared" si="10"/>
        <v>-7.9782284665270709E-3</v>
      </c>
      <c r="J65" s="1">
        <f>+G65</f>
        <v>-7.9782284665270709E-3</v>
      </c>
      <c r="O65" s="1">
        <f t="shared" ca="1" si="11"/>
        <v>-4.0692017839172537E-3</v>
      </c>
      <c r="Q65" s="73">
        <f t="shared" si="12"/>
        <v>40440.864200000004</v>
      </c>
    </row>
    <row r="66" spans="1:17" x14ac:dyDescent="0.2">
      <c r="A66" s="54" t="s">
        <v>256</v>
      </c>
      <c r="B66" s="55" t="s">
        <v>35</v>
      </c>
      <c r="C66" s="56">
        <v>55758.427900000002</v>
      </c>
      <c r="D66" s="56">
        <v>5.0000000000000001E-4</v>
      </c>
      <c r="E66" s="43">
        <f t="shared" si="8"/>
        <v>14759.987081366471</v>
      </c>
      <c r="F66" s="1">
        <f t="shared" si="9"/>
        <v>14760</v>
      </c>
      <c r="G66" s="1">
        <f t="shared" si="10"/>
        <v>-3.7364018789958209E-3</v>
      </c>
      <c r="K66" s="1">
        <f t="shared" ref="K66:K71" si="13">+G66</f>
        <v>-3.7364018789958209E-3</v>
      </c>
      <c r="O66" s="1">
        <f t="shared" ca="1" si="11"/>
        <v>-4.3426367478065983E-3</v>
      </c>
      <c r="Q66" s="73">
        <f t="shared" si="12"/>
        <v>40739.927900000002</v>
      </c>
    </row>
    <row r="67" spans="1:17" x14ac:dyDescent="0.2">
      <c r="A67" s="54" t="s">
        <v>256</v>
      </c>
      <c r="B67" s="55" t="s">
        <v>36</v>
      </c>
      <c r="C67" s="56">
        <v>55760.452100000002</v>
      </c>
      <c r="D67" s="56">
        <v>2.0000000000000001E-4</v>
      </c>
      <c r="E67" s="43">
        <f t="shared" si="8"/>
        <v>14766.985765884872</v>
      </c>
      <c r="F67" s="1">
        <f t="shared" si="9"/>
        <v>14767</v>
      </c>
      <c r="G67" s="1">
        <f t="shared" si="10"/>
        <v>-4.1168730749632232E-3</v>
      </c>
      <c r="K67" s="1">
        <f t="shared" si="13"/>
        <v>-4.1168730749632232E-3</v>
      </c>
      <c r="O67" s="1">
        <f t="shared" ca="1" si="11"/>
        <v>-4.3444878549122323E-3</v>
      </c>
      <c r="Q67" s="73">
        <f t="shared" si="12"/>
        <v>40741.952100000002</v>
      </c>
    </row>
    <row r="68" spans="1:17" x14ac:dyDescent="0.2">
      <c r="A68" s="48" t="s">
        <v>257</v>
      </c>
      <c r="B68" s="50" t="s">
        <v>35</v>
      </c>
      <c r="C68" s="51">
        <v>55791.398999999998</v>
      </c>
      <c r="D68" s="51">
        <v>2.9999999999999997E-4</v>
      </c>
      <c r="E68" s="43">
        <f t="shared" si="8"/>
        <v>14873.984871666173</v>
      </c>
      <c r="F68" s="1">
        <f t="shared" si="9"/>
        <v>14874</v>
      </c>
      <c r="G68" s="1">
        <f t="shared" si="10"/>
        <v>-4.3755041770054959E-3</v>
      </c>
      <c r="K68" s="1">
        <f t="shared" si="13"/>
        <v>-4.3755041770054959E-3</v>
      </c>
      <c r="O68" s="1">
        <f t="shared" ca="1" si="11"/>
        <v>-4.372783349241207E-3</v>
      </c>
      <c r="Q68" s="73">
        <f t="shared" si="12"/>
        <v>40772.898999999998</v>
      </c>
    </row>
    <row r="69" spans="1:17" x14ac:dyDescent="0.2">
      <c r="A69" s="52" t="s">
        <v>233</v>
      </c>
      <c r="B69" s="53" t="s">
        <v>35</v>
      </c>
      <c r="C69" s="52">
        <v>55817.429499999998</v>
      </c>
      <c r="D69" s="46"/>
      <c r="E69" s="43">
        <f t="shared" si="8"/>
        <v>14963.985492828249</v>
      </c>
      <c r="F69" s="1">
        <f t="shared" si="9"/>
        <v>14964</v>
      </c>
      <c r="G69" s="1">
        <f t="shared" si="10"/>
        <v>-4.1958480869652703E-3</v>
      </c>
      <c r="K69" s="1">
        <f t="shared" si="13"/>
        <v>-4.1958480869652703E-3</v>
      </c>
      <c r="O69" s="1">
        <f t="shared" ca="1" si="11"/>
        <v>-4.3965832977422136E-3</v>
      </c>
      <c r="Q69" s="73">
        <f t="shared" si="12"/>
        <v>40798.929499999998</v>
      </c>
    </row>
    <row r="70" spans="1:17" x14ac:dyDescent="0.2">
      <c r="A70" s="54" t="s">
        <v>256</v>
      </c>
      <c r="B70" s="55" t="s">
        <v>36</v>
      </c>
      <c r="C70" s="56">
        <v>55837.387199999997</v>
      </c>
      <c r="D70" s="56">
        <v>2.0000000000000001E-4</v>
      </c>
      <c r="E70" s="43">
        <f t="shared" si="8"/>
        <v>15032.989368933826</v>
      </c>
      <c r="F70" s="1">
        <f t="shared" si="9"/>
        <v>15033</v>
      </c>
      <c r="G70" s="1">
        <f t="shared" si="10"/>
        <v>-3.0747784257982858E-3</v>
      </c>
      <c r="K70" s="1">
        <f t="shared" si="13"/>
        <v>-3.0747784257982858E-3</v>
      </c>
      <c r="O70" s="1">
        <f t="shared" ca="1" si="11"/>
        <v>-4.4148299249263181E-3</v>
      </c>
      <c r="Q70" s="73">
        <f t="shared" si="12"/>
        <v>40818.887199999997</v>
      </c>
    </row>
    <row r="71" spans="1:17" x14ac:dyDescent="0.2">
      <c r="A71" s="48" t="s">
        <v>257</v>
      </c>
      <c r="B71" s="50" t="s">
        <v>36</v>
      </c>
      <c r="C71" s="51">
        <v>56165.367200000001</v>
      </c>
      <c r="D71" s="51">
        <v>2.9999999999999997E-4</v>
      </c>
      <c r="E71" s="43">
        <f t="shared" si="8"/>
        <v>16166.982328298302</v>
      </c>
      <c r="F71" s="1">
        <f t="shared" si="9"/>
        <v>16167</v>
      </c>
      <c r="G71" s="1">
        <f t="shared" si="10"/>
        <v>-5.1111117354594171E-3</v>
      </c>
      <c r="K71" s="1">
        <f t="shared" si="13"/>
        <v>-5.1111117354594171E-3</v>
      </c>
      <c r="O71" s="1">
        <f t="shared" ca="1" si="11"/>
        <v>-4.7147092760390034E-3</v>
      </c>
      <c r="Q71" s="73">
        <f t="shared" si="12"/>
        <v>41146.867200000001</v>
      </c>
    </row>
    <row r="72" spans="1:17" x14ac:dyDescent="0.2">
      <c r="A72" s="51" t="s">
        <v>258</v>
      </c>
      <c r="B72" s="47"/>
      <c r="C72" s="51">
        <v>56905.495499999997</v>
      </c>
      <c r="D72" s="51">
        <v>3.5000000000000001E-3</v>
      </c>
      <c r="E72" s="43">
        <f t="shared" si="8"/>
        <v>18725.980685595659</v>
      </c>
      <c r="F72" s="1">
        <f t="shared" si="9"/>
        <v>18726</v>
      </c>
      <c r="G72" s="1">
        <f t="shared" si="10"/>
        <v>-5.5862236913526431E-3</v>
      </c>
      <c r="J72" s="1">
        <f>+G72</f>
        <v>-5.5862236913526431E-3</v>
      </c>
      <c r="O72" s="1">
        <f t="shared" ca="1" si="11"/>
        <v>-5.3914211450842957E-3</v>
      </c>
      <c r="Q72" s="73">
        <f t="shared" si="12"/>
        <v>41886.995499999997</v>
      </c>
    </row>
    <row r="73" spans="1:17" x14ac:dyDescent="0.2">
      <c r="A73" s="57" t="s">
        <v>259</v>
      </c>
      <c r="B73" s="58" t="s">
        <v>36</v>
      </c>
      <c r="C73" s="59">
        <v>57246.491379999999</v>
      </c>
      <c r="D73" s="59">
        <v>2.0000000000000001E-4</v>
      </c>
      <c r="E73" s="43">
        <f t="shared" si="8"/>
        <v>19904.976133770222</v>
      </c>
      <c r="F73" s="1">
        <f t="shared" si="9"/>
        <v>19905</v>
      </c>
      <c r="G73" s="1">
        <f t="shared" si="10"/>
        <v>-6.9027289646328427E-3</v>
      </c>
      <c r="K73" s="1">
        <f t="shared" ref="K73:K79" si="14">+G73</f>
        <v>-6.9027289646328427E-3</v>
      </c>
      <c r="O73" s="1">
        <f t="shared" ca="1" si="11"/>
        <v>-5.7032004704474833E-3</v>
      </c>
      <c r="Q73" s="73">
        <f t="shared" si="12"/>
        <v>42227.991379999999</v>
      </c>
    </row>
    <row r="74" spans="1:17" x14ac:dyDescent="0.2">
      <c r="A74" s="60" t="s">
        <v>260</v>
      </c>
      <c r="B74" s="61" t="s">
        <v>36</v>
      </c>
      <c r="C74" s="62">
        <v>57261.532399999996</v>
      </c>
      <c r="D74" s="62">
        <v>1.9E-3</v>
      </c>
      <c r="E74" s="43">
        <f t="shared" si="8"/>
        <v>19956.980557154748</v>
      </c>
      <c r="F74" s="1">
        <f t="shared" si="9"/>
        <v>19957</v>
      </c>
      <c r="G74" s="1">
        <f t="shared" si="10"/>
        <v>-5.6233721115859225E-3</v>
      </c>
      <c r="K74" s="1">
        <f t="shared" si="14"/>
        <v>-5.6233721115859225E-3</v>
      </c>
      <c r="O74" s="1">
        <f t="shared" ca="1" si="11"/>
        <v>-5.7169515518036215E-3</v>
      </c>
      <c r="Q74" s="73">
        <f t="shared" si="12"/>
        <v>42243.032399999996</v>
      </c>
    </row>
    <row r="75" spans="1:17" x14ac:dyDescent="0.2">
      <c r="A75" s="60" t="s">
        <v>260</v>
      </c>
      <c r="B75" s="61" t="s">
        <v>36</v>
      </c>
      <c r="C75" s="62">
        <v>57276.571799999998</v>
      </c>
      <c r="D75" s="62">
        <v>2.8999999999999998E-3</v>
      </c>
      <c r="E75" s="43">
        <f t="shared" si="8"/>
        <v>20008.97937937887</v>
      </c>
      <c r="F75" s="1">
        <f t="shared" si="9"/>
        <v>20009</v>
      </c>
      <c r="G75" s="1">
        <f t="shared" si="10"/>
        <v>-5.9640152612701058E-3</v>
      </c>
      <c r="K75" s="1">
        <f t="shared" si="14"/>
        <v>-5.9640152612701058E-3</v>
      </c>
      <c r="O75" s="1">
        <f t="shared" ca="1" si="11"/>
        <v>-5.730702633159758E-3</v>
      </c>
      <c r="Q75" s="73">
        <f t="shared" si="12"/>
        <v>42258.071799999998</v>
      </c>
    </row>
    <row r="76" spans="1:17" x14ac:dyDescent="0.2">
      <c r="A76" s="60" t="s">
        <v>260</v>
      </c>
      <c r="B76" s="61" t="s">
        <v>36</v>
      </c>
      <c r="C76" s="62">
        <v>57278.3076</v>
      </c>
      <c r="D76" s="62">
        <v>2.9999999999999997E-4</v>
      </c>
      <c r="E76" s="43">
        <f t="shared" si="8"/>
        <v>20014.980919042468</v>
      </c>
      <c r="F76" s="1">
        <f t="shared" si="9"/>
        <v>20015</v>
      </c>
      <c r="G76" s="1">
        <f t="shared" si="10"/>
        <v>-5.5187048565130681E-3</v>
      </c>
      <c r="K76" s="1">
        <f t="shared" si="14"/>
        <v>-5.5187048565130681E-3</v>
      </c>
      <c r="O76" s="1">
        <f t="shared" ca="1" si="11"/>
        <v>-5.7322892963931581E-3</v>
      </c>
      <c r="Q76" s="73">
        <f t="shared" si="12"/>
        <v>42259.8076</v>
      </c>
    </row>
    <row r="77" spans="1:17" x14ac:dyDescent="0.2">
      <c r="A77" s="60" t="s">
        <v>260</v>
      </c>
      <c r="B77" s="61" t="s">
        <v>36</v>
      </c>
      <c r="C77" s="62">
        <v>57278.597199999997</v>
      </c>
      <c r="D77" s="62">
        <v>1.6000000000000001E-3</v>
      </c>
      <c r="E77" s="43">
        <f t="shared" si="8"/>
        <v>20015.982212904986</v>
      </c>
      <c r="F77" s="1">
        <f t="shared" si="9"/>
        <v>20016</v>
      </c>
      <c r="G77" s="1">
        <f t="shared" si="10"/>
        <v>-5.1444864584482275E-3</v>
      </c>
      <c r="K77" s="1">
        <f t="shared" si="14"/>
        <v>-5.1444864584482275E-3</v>
      </c>
      <c r="O77" s="1">
        <f t="shared" ca="1" si="11"/>
        <v>-5.732553740265392E-3</v>
      </c>
      <c r="Q77" s="73">
        <f t="shared" si="12"/>
        <v>42260.097199999997</v>
      </c>
    </row>
    <row r="78" spans="1:17" x14ac:dyDescent="0.2">
      <c r="A78" s="63" t="s">
        <v>261</v>
      </c>
      <c r="B78" s="64" t="s">
        <v>36</v>
      </c>
      <c r="C78" s="65">
        <v>58005.422200000001</v>
      </c>
      <c r="D78" s="65">
        <v>1.8E-3</v>
      </c>
      <c r="E78" s="43">
        <f t="shared" si="8"/>
        <v>22528.984324893772</v>
      </c>
      <c r="F78" s="1">
        <f t="shared" si="9"/>
        <v>22529</v>
      </c>
      <c r="G78" s="1">
        <f t="shared" si="10"/>
        <v>-4.5336448529269546E-3</v>
      </c>
      <c r="K78" s="1">
        <f t="shared" si="14"/>
        <v>-4.5336448529269546E-3</v>
      </c>
      <c r="O78" s="1">
        <f t="shared" ca="1" si="11"/>
        <v>-6.3971011911879462E-3</v>
      </c>
      <c r="Q78" s="73">
        <f t="shared" si="12"/>
        <v>42986.922200000001</v>
      </c>
    </row>
    <row r="79" spans="1:17" x14ac:dyDescent="0.2">
      <c r="A79" s="63" t="s">
        <v>262</v>
      </c>
      <c r="B79" s="66" t="s">
        <v>35</v>
      </c>
      <c r="C79" s="67">
        <v>58062.400000000001</v>
      </c>
      <c r="D79" s="67">
        <v>4.0000000000000001E-3</v>
      </c>
      <c r="E79" s="43">
        <f t="shared" si="8"/>
        <v>22725.985434839738</v>
      </c>
      <c r="F79" s="1">
        <f t="shared" si="9"/>
        <v>22726</v>
      </c>
      <c r="G79" s="1">
        <f t="shared" si="10"/>
        <v>-4.2126198604819365E-3</v>
      </c>
      <c r="K79" s="1">
        <f t="shared" si="14"/>
        <v>-4.2126198604819365E-3</v>
      </c>
      <c r="O79" s="1">
        <f t="shared" ca="1" si="11"/>
        <v>-6.4491966340179292E-3</v>
      </c>
      <c r="Q79" s="73">
        <f t="shared" si="12"/>
        <v>43043.9</v>
      </c>
    </row>
    <row r="80" spans="1:17" x14ac:dyDescent="0.2">
      <c r="A80" s="68" t="s">
        <v>263</v>
      </c>
      <c r="B80" s="69" t="s">
        <v>36</v>
      </c>
      <c r="C80" s="70">
        <v>58021.617380000185</v>
      </c>
      <c r="D80" s="70">
        <v>1E-4</v>
      </c>
      <c r="E80" s="43">
        <f>+(C80-C$7)/C$8</f>
        <v>22584.979263901791</v>
      </c>
      <c r="F80" s="1">
        <f>ROUND(2*E80,0)/2</f>
        <v>22585</v>
      </c>
      <c r="G80" s="1">
        <f>+C80-(C$7+F80*C$8)</f>
        <v>-5.9974142131977715E-3</v>
      </c>
      <c r="K80" s="1">
        <f>+G80</f>
        <v>-5.9974142131977715E-3</v>
      </c>
      <c r="O80" s="1">
        <f ca="1">+C$11+C$12*$F80</f>
        <v>-6.4119100480330184E-3</v>
      </c>
      <c r="Q80" s="73">
        <f>+C80-15018.5</f>
        <v>43003.117380000185</v>
      </c>
    </row>
    <row r="81" spans="1:17" x14ac:dyDescent="0.2">
      <c r="A81" s="71" t="s">
        <v>264</v>
      </c>
      <c r="B81" s="72" t="s">
        <v>36</v>
      </c>
      <c r="C81" s="74">
        <v>59111.4205</v>
      </c>
      <c r="D81" s="75">
        <v>1.2999999999999999E-3</v>
      </c>
      <c r="E81" s="43">
        <f t="shared" ref="E81:E85" si="15">+(C81-C$7)/C$8</f>
        <v>26352.980560240645</v>
      </c>
      <c r="F81" s="1">
        <f t="shared" ref="F81:F85" si="16">ROUND(2*E81,0)/2</f>
        <v>26353</v>
      </c>
      <c r="G81" s="1">
        <f t="shared" ref="G81:G85" si="17">+C81-(C$7+F81*C$8)</f>
        <v>-5.6224795916932635E-3</v>
      </c>
      <c r="K81" s="1">
        <f t="shared" ref="K81:K85" si="18">+G81</f>
        <v>-5.6224795916932635E-3</v>
      </c>
      <c r="O81" s="1">
        <f t="shared" ref="O81:O85" ca="1" si="19">+C$11+C$12*$F81</f>
        <v>-7.4083345586085005E-3</v>
      </c>
      <c r="Q81" s="73">
        <f t="shared" ref="Q81:Q85" si="20">+C81-15018.5</f>
        <v>44092.9205</v>
      </c>
    </row>
    <row r="82" spans="1:17" x14ac:dyDescent="0.2">
      <c r="A82" s="71" t="s">
        <v>264</v>
      </c>
      <c r="B82" s="72" t="s">
        <v>36</v>
      </c>
      <c r="C82" s="74">
        <v>59168.399100000002</v>
      </c>
      <c r="D82" s="75">
        <v>6.9999999999999999E-4</v>
      </c>
      <c r="E82" s="43">
        <f t="shared" si="15"/>
        <v>26549.98443619176</v>
      </c>
      <c r="F82" s="1">
        <f t="shared" si="16"/>
        <v>26550</v>
      </c>
      <c r="G82" s="1">
        <f t="shared" si="17"/>
        <v>-4.50145460490603E-3</v>
      </c>
      <c r="K82" s="1">
        <f t="shared" si="18"/>
        <v>-4.50145460490603E-3</v>
      </c>
      <c r="O82" s="1">
        <f t="shared" ca="1" si="19"/>
        <v>-7.4604300014384818E-3</v>
      </c>
      <c r="Q82" s="73">
        <f t="shared" si="20"/>
        <v>44149.899100000002</v>
      </c>
    </row>
    <row r="83" spans="1:17" x14ac:dyDescent="0.2">
      <c r="A83" s="71" t="s">
        <v>265</v>
      </c>
      <c r="B83" s="72" t="s">
        <v>35</v>
      </c>
      <c r="C83" s="74">
        <v>59461.374199999998</v>
      </c>
      <c r="D83" s="75">
        <v>2.9999999999999997E-4</v>
      </c>
      <c r="E83" s="43">
        <f t="shared" si="15"/>
        <v>27562.94772867635</v>
      </c>
      <c r="F83" s="1">
        <f t="shared" si="16"/>
        <v>27563</v>
      </c>
      <c r="G83" s="1">
        <f t="shared" si="17"/>
        <v>-1.511821444000816E-2</v>
      </c>
      <c r="K83" s="1">
        <f t="shared" si="18"/>
        <v>-1.511821444000816E-2</v>
      </c>
      <c r="O83" s="1">
        <f t="shared" ca="1" si="19"/>
        <v>-7.7283116440109243E-3</v>
      </c>
      <c r="Q83" s="73">
        <f t="shared" si="20"/>
        <v>44442.874199999998</v>
      </c>
    </row>
    <row r="84" spans="1:17" x14ac:dyDescent="0.2">
      <c r="A84" s="71" t="s">
        <v>264</v>
      </c>
      <c r="B84" s="72" t="s">
        <v>36</v>
      </c>
      <c r="C84" s="74">
        <v>59482.498299999999</v>
      </c>
      <c r="D84" s="75">
        <v>4.0000000000000002E-4</v>
      </c>
      <c r="E84" s="43">
        <f t="shared" si="15"/>
        <v>27635.984440283497</v>
      </c>
      <c r="F84" s="1">
        <f t="shared" si="16"/>
        <v>27636</v>
      </c>
      <c r="G84" s="1">
        <f t="shared" si="17"/>
        <v>-4.5002711631241255E-3</v>
      </c>
      <c r="K84" s="1">
        <f t="shared" si="18"/>
        <v>-4.5002711631241255E-3</v>
      </c>
      <c r="O84" s="1">
        <f t="shared" ca="1" si="19"/>
        <v>-7.7476160466839628E-3</v>
      </c>
      <c r="Q84" s="73">
        <f t="shared" si="20"/>
        <v>44463.998299999999</v>
      </c>
    </row>
    <row r="85" spans="1:17" x14ac:dyDescent="0.2">
      <c r="A85" s="71" t="s">
        <v>264</v>
      </c>
      <c r="B85" s="72" t="s">
        <v>35</v>
      </c>
      <c r="C85" s="74">
        <v>59516.330399999999</v>
      </c>
      <c r="D85" s="75">
        <v>1E-4</v>
      </c>
      <c r="E85" s="43">
        <f t="shared" si="15"/>
        <v>27752.959143620636</v>
      </c>
      <c r="F85" s="1">
        <f t="shared" si="16"/>
        <v>27753</v>
      </c>
      <c r="G85" s="1">
        <f t="shared" si="17"/>
        <v>-1.1816718259069603E-2</v>
      </c>
      <c r="K85" s="1">
        <f t="shared" si="18"/>
        <v>-1.1816718259069603E-2</v>
      </c>
      <c r="O85" s="1">
        <f t="shared" ca="1" si="19"/>
        <v>-7.7785559797352716E-3</v>
      </c>
      <c r="Q85" s="73">
        <f t="shared" si="20"/>
        <v>44497.830399999999</v>
      </c>
    </row>
    <row r="86" spans="1:17" x14ac:dyDescent="0.2">
      <c r="C86" s="18"/>
      <c r="D86" s="18"/>
    </row>
    <row r="87" spans="1:17" x14ac:dyDescent="0.2">
      <c r="C87" s="18"/>
      <c r="D87" s="18"/>
    </row>
    <row r="88" spans="1:17" x14ac:dyDescent="0.2">
      <c r="C88" s="18"/>
      <c r="D88" s="18"/>
    </row>
    <row r="89" spans="1:17" x14ac:dyDescent="0.2">
      <c r="C89" s="18"/>
      <c r="D89" s="18"/>
    </row>
    <row r="90" spans="1:17" x14ac:dyDescent="0.2">
      <c r="C90" s="18"/>
      <c r="D90" s="18"/>
    </row>
    <row r="91" spans="1:17" x14ac:dyDescent="0.2">
      <c r="C91" s="18"/>
      <c r="D91" s="18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workbookViewId="0"/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 x14ac:dyDescent="0.3">
      <c r="A1" s="2" t="s">
        <v>0</v>
      </c>
    </row>
    <row r="2" spans="1:4" x14ac:dyDescent="0.2">
      <c r="A2" s="1" t="s">
        <v>1</v>
      </c>
    </row>
    <row r="4" spans="1:4" x14ac:dyDescent="0.2">
      <c r="A4" s="3" t="s">
        <v>2</v>
      </c>
      <c r="C4" s="4" t="s">
        <v>3</v>
      </c>
      <c r="D4" s="5" t="s">
        <v>3</v>
      </c>
    </row>
    <row r="6" spans="1:4" x14ac:dyDescent="0.2">
      <c r="A6" s="3" t="s">
        <v>4</v>
      </c>
    </row>
    <row r="7" spans="1:4" x14ac:dyDescent="0.2">
      <c r="A7" s="1" t="s">
        <v>5</v>
      </c>
      <c r="C7" s="6">
        <v>51489.4591</v>
      </c>
    </row>
    <row r="8" spans="1:4" x14ac:dyDescent="0.2">
      <c r="A8" s="1" t="s">
        <v>6</v>
      </c>
      <c r="C8" s="1">
        <v>0.28919499999999998</v>
      </c>
    </row>
    <row r="10" spans="1:4" x14ac:dyDescent="0.2">
      <c r="C10" s="7" t="s">
        <v>7</v>
      </c>
      <c r="D10" s="7" t="s">
        <v>8</v>
      </c>
    </row>
    <row r="11" spans="1:4" x14ac:dyDescent="0.2">
      <c r="A11" s="1" t="s">
        <v>9</v>
      </c>
      <c r="C11" s="1">
        <f>INTERCEPT(G21:G997,$F21:$F997)</f>
        <v>-0.1454137074639425</v>
      </c>
      <c r="D11" s="8"/>
    </row>
    <row r="12" spans="1:4" x14ac:dyDescent="0.2">
      <c r="A12" s="1" t="s">
        <v>10</v>
      </c>
      <c r="C12" s="1">
        <f>SLOPE(G21:G997,$F21:$F997)</f>
        <v>3.0781599043506716E-5</v>
      </c>
      <c r="D12" s="8"/>
    </row>
    <row r="13" spans="1:4" x14ac:dyDescent="0.2">
      <c r="A13" s="1" t="s">
        <v>11</v>
      </c>
      <c r="C13" s="8" t="s">
        <v>12</v>
      </c>
      <c r="D13" s="8"/>
    </row>
    <row r="14" spans="1:4" x14ac:dyDescent="0.2">
      <c r="A14" s="1" t="s">
        <v>13</v>
      </c>
    </row>
    <row r="15" spans="1:4" x14ac:dyDescent="0.2">
      <c r="A15" s="3" t="s">
        <v>14</v>
      </c>
      <c r="C15" s="1">
        <f>+C7+C11</f>
        <v>51489.313686292538</v>
      </c>
    </row>
    <row r="16" spans="1:4" x14ac:dyDescent="0.2">
      <c r="A16" s="3" t="s">
        <v>15</v>
      </c>
      <c r="C16" s="1">
        <f>+C8+C12</f>
        <v>0.2892257815990435</v>
      </c>
    </row>
    <row r="18" spans="1:17" x14ac:dyDescent="0.2">
      <c r="A18" s="3" t="s">
        <v>16</v>
      </c>
      <c r="C18" s="9">
        <f>+C15</f>
        <v>51489.313686292538</v>
      </c>
      <c r="D18" s="10">
        <f>+C16</f>
        <v>0.2892257815990435</v>
      </c>
    </row>
    <row r="19" spans="1:17" x14ac:dyDescent="0.2">
      <c r="C19" s="1">
        <f>COUNT(C21:C2189)</f>
        <v>16</v>
      </c>
    </row>
    <row r="20" spans="1:17" x14ac:dyDescent="0.2">
      <c r="A20" s="7" t="s">
        <v>17</v>
      </c>
      <c r="B20" s="7" t="s">
        <v>18</v>
      </c>
      <c r="C20" s="7" t="s">
        <v>19</v>
      </c>
      <c r="D20" s="7" t="s">
        <v>20</v>
      </c>
      <c r="E20" s="7" t="s">
        <v>21</v>
      </c>
      <c r="F20" s="7" t="s">
        <v>22</v>
      </c>
      <c r="G20" s="7" t="s">
        <v>23</v>
      </c>
      <c r="H20" s="11" t="s">
        <v>24</v>
      </c>
      <c r="I20" s="11" t="s">
        <v>25</v>
      </c>
      <c r="J20" s="11" t="s">
        <v>26</v>
      </c>
      <c r="K20" s="11" t="s">
        <v>27</v>
      </c>
      <c r="L20" s="11" t="s">
        <v>28</v>
      </c>
      <c r="M20" s="11" t="s">
        <v>29</v>
      </c>
      <c r="N20" s="11" t="s">
        <v>30</v>
      </c>
      <c r="O20" s="11" t="s">
        <v>31</v>
      </c>
      <c r="P20" s="11" t="s">
        <v>32</v>
      </c>
      <c r="Q20" s="7" t="s">
        <v>33</v>
      </c>
    </row>
    <row r="21" spans="1:17" x14ac:dyDescent="0.2">
      <c r="A21" s="6" t="s">
        <v>34</v>
      </c>
      <c r="B21" s="12" t="s">
        <v>35</v>
      </c>
      <c r="C21" s="6">
        <v>51465.451999999997</v>
      </c>
      <c r="D21" s="12">
        <v>2.9999999999999997E-4</v>
      </c>
      <c r="E21" s="1">
        <f>+(C21-C$7)/C$8</f>
        <v>-83.013537578459307</v>
      </c>
      <c r="F21" s="13">
        <f>ROUND(2*E21,0)/2+0.5</f>
        <v>-82.5</v>
      </c>
      <c r="G21" s="1">
        <f t="shared" ref="G21:G36" si="0">+C21-(C$7+F21*C$8)</f>
        <v>-0.14851250000356231</v>
      </c>
      <c r="I21" s="1">
        <f>G21</f>
        <v>-0.14851250000356231</v>
      </c>
      <c r="O21" s="1">
        <f>+C$11+C$12*$F21</f>
        <v>-0.1479531893850318</v>
      </c>
      <c r="Q21" s="14">
        <f>+C21-15018.5</f>
        <v>36446.951999999997</v>
      </c>
    </row>
    <row r="22" spans="1:17" x14ac:dyDescent="0.2">
      <c r="A22" s="6" t="s">
        <v>34</v>
      </c>
      <c r="B22" s="12" t="s">
        <v>35</v>
      </c>
      <c r="C22" s="6">
        <v>51465.452100000002</v>
      </c>
      <c r="D22" s="12">
        <v>5.0000000000000001E-4</v>
      </c>
      <c r="E22" s="1">
        <f t="shared" ref="E22:E36" si="1">+(C22-C$7)/C$8</f>
        <v>-83.01319179099842</v>
      </c>
      <c r="F22" s="13">
        <f t="shared" ref="F22:F31" si="2">ROUND(2*E22,0)/2+0.5</f>
        <v>-82.5</v>
      </c>
      <c r="G22" s="1">
        <f t="shared" si="0"/>
        <v>-0.14841249999881256</v>
      </c>
      <c r="I22" s="1">
        <f>G22</f>
        <v>-0.14841249999881256</v>
      </c>
      <c r="O22" s="1">
        <f t="shared" ref="O22:O36" si="3">+C$11+C$12*$F22</f>
        <v>-0.1479531893850318</v>
      </c>
      <c r="Q22" s="14">
        <f t="shared" ref="Q22:Q36" si="4">+C22-15018.5</f>
        <v>36446.952100000002</v>
      </c>
    </row>
    <row r="23" spans="1:17" x14ac:dyDescent="0.2">
      <c r="A23" s="6" t="s">
        <v>34</v>
      </c>
      <c r="B23" s="12" t="s">
        <v>35</v>
      </c>
      <c r="C23" s="6">
        <v>51465.453000000001</v>
      </c>
      <c r="D23" s="12">
        <v>2.9999999999999997E-4</v>
      </c>
      <c r="E23" s="1">
        <f t="shared" si="1"/>
        <v>-83.010079704001441</v>
      </c>
      <c r="F23" s="13">
        <f t="shared" si="2"/>
        <v>-82.5</v>
      </c>
      <c r="G23" s="1">
        <f t="shared" si="0"/>
        <v>-0.1475124999997206</v>
      </c>
      <c r="I23" s="1">
        <f>G23</f>
        <v>-0.1475124999997206</v>
      </c>
      <c r="O23" s="1">
        <f t="shared" si="3"/>
        <v>-0.1479531893850318</v>
      </c>
      <c r="Q23" s="14">
        <f t="shared" si="4"/>
        <v>36446.953000000001</v>
      </c>
    </row>
    <row r="24" spans="1:17" x14ac:dyDescent="0.2">
      <c r="A24" s="6" t="s">
        <v>34</v>
      </c>
      <c r="B24" s="12" t="s">
        <v>36</v>
      </c>
      <c r="C24" s="6">
        <v>51489.4591</v>
      </c>
      <c r="D24" s="12">
        <v>1E-3</v>
      </c>
      <c r="E24" s="1">
        <f t="shared" si="1"/>
        <v>0</v>
      </c>
      <c r="F24" s="13">
        <f t="shared" si="2"/>
        <v>0.5</v>
      </c>
      <c r="G24" s="1">
        <f>+C24-(C$7+F24*C$8)</f>
        <v>-0.14459750000241911</v>
      </c>
      <c r="I24" s="1">
        <f>G24</f>
        <v>-0.14459750000241911</v>
      </c>
      <c r="O24" s="1">
        <f t="shared" si="3"/>
        <v>-0.14539831666442074</v>
      </c>
      <c r="Q24" s="14">
        <f t="shared" si="4"/>
        <v>36470.9591</v>
      </c>
    </row>
    <row r="25" spans="1:17" x14ac:dyDescent="0.2">
      <c r="A25" s="6" t="s">
        <v>34</v>
      </c>
      <c r="B25" s="12" t="s">
        <v>36</v>
      </c>
      <c r="C25" s="6">
        <v>51489.4594</v>
      </c>
      <c r="D25" s="12">
        <v>1.1000000000000001E-3</v>
      </c>
      <c r="E25" s="1">
        <f t="shared" si="1"/>
        <v>1.0373623323270463E-3</v>
      </c>
      <c r="F25" s="13">
        <f t="shared" si="2"/>
        <v>0.5</v>
      </c>
      <c r="G25" s="1">
        <f>+C25-(C$7+F25*C$8)</f>
        <v>-0.14429750000272179</v>
      </c>
      <c r="I25" s="1">
        <f>G25</f>
        <v>-0.14429750000272179</v>
      </c>
      <c r="O25" s="1">
        <f t="shared" si="3"/>
        <v>-0.14539831666442074</v>
      </c>
      <c r="Q25" s="14">
        <f t="shared" si="4"/>
        <v>36470.9594</v>
      </c>
    </row>
    <row r="26" spans="1:17" x14ac:dyDescent="0.2">
      <c r="A26" s="6" t="s">
        <v>34</v>
      </c>
      <c r="B26" s="12" t="s">
        <v>36</v>
      </c>
      <c r="C26" s="6">
        <v>51489.459499999997</v>
      </c>
      <c r="D26" s="12">
        <v>5.0000000000000001E-4</v>
      </c>
      <c r="E26" s="1">
        <f t="shared" si="1"/>
        <v>1.3831497680496126E-3</v>
      </c>
      <c r="F26" s="13">
        <f t="shared" si="2"/>
        <v>0.5</v>
      </c>
      <c r="G26" s="1">
        <f t="shared" ref="G26:G31" si="5">+C26-(C$7+F26*C$8)</f>
        <v>-0.144197500005248</v>
      </c>
      <c r="I26" s="1">
        <f t="shared" ref="I26:I31" si="6">G26</f>
        <v>-0.144197500005248</v>
      </c>
      <c r="O26" s="1">
        <f t="shared" si="3"/>
        <v>-0.14539831666442074</v>
      </c>
      <c r="Q26" s="14">
        <f t="shared" si="4"/>
        <v>36470.959499999997</v>
      </c>
    </row>
    <row r="27" spans="1:17" x14ac:dyDescent="0.2">
      <c r="A27" s="6" t="s">
        <v>34</v>
      </c>
      <c r="B27" s="12" t="s">
        <v>36</v>
      </c>
      <c r="C27" s="6">
        <v>51510.280400000003</v>
      </c>
      <c r="D27" s="12">
        <v>1.5E-3</v>
      </c>
      <c r="E27" s="1">
        <f t="shared" si="1"/>
        <v>71.997441172922251</v>
      </c>
      <c r="F27" s="13">
        <f t="shared" si="2"/>
        <v>72.5</v>
      </c>
      <c r="G27" s="1">
        <f t="shared" si="5"/>
        <v>-0.14533749999827705</v>
      </c>
      <c r="I27" s="1">
        <f t="shared" si="6"/>
        <v>-0.14533749999827705</v>
      </c>
      <c r="O27" s="1">
        <f t="shared" si="3"/>
        <v>-0.14318204153328826</v>
      </c>
      <c r="Q27" s="14">
        <f t="shared" si="4"/>
        <v>36491.780400000003</v>
      </c>
    </row>
    <row r="28" spans="1:17" x14ac:dyDescent="0.2">
      <c r="A28" s="6" t="s">
        <v>34</v>
      </c>
      <c r="B28" s="12" t="s">
        <v>36</v>
      </c>
      <c r="C28" s="6">
        <v>51510.2808</v>
      </c>
      <c r="D28" s="12">
        <v>2.8E-3</v>
      </c>
      <c r="E28" s="1">
        <f t="shared" si="1"/>
        <v>71.998824322690297</v>
      </c>
      <c r="F28" s="13">
        <f t="shared" si="2"/>
        <v>72.5</v>
      </c>
      <c r="G28" s="1">
        <f t="shared" si="5"/>
        <v>-0.14493750000110595</v>
      </c>
      <c r="I28" s="1">
        <f t="shared" si="6"/>
        <v>-0.14493750000110595</v>
      </c>
      <c r="O28" s="1">
        <f t="shared" si="3"/>
        <v>-0.14318204153328826</v>
      </c>
      <c r="Q28" s="14">
        <f t="shared" si="4"/>
        <v>36491.7808</v>
      </c>
    </row>
    <row r="29" spans="1:17" x14ac:dyDescent="0.2">
      <c r="A29" s="6" t="s">
        <v>34</v>
      </c>
      <c r="B29" s="12" t="s">
        <v>36</v>
      </c>
      <c r="C29" s="6">
        <v>51514.332000000002</v>
      </c>
      <c r="D29" s="12">
        <v>2.9999999999999997E-4</v>
      </c>
      <c r="E29" s="1">
        <f t="shared" si="1"/>
        <v>86.00736527257429</v>
      </c>
      <c r="F29" s="13">
        <f t="shared" si="2"/>
        <v>86.5</v>
      </c>
      <c r="G29" s="1">
        <f t="shared" si="5"/>
        <v>-0.1424674999943818</v>
      </c>
      <c r="I29" s="1">
        <f t="shared" si="6"/>
        <v>-0.1424674999943818</v>
      </c>
      <c r="O29" s="1">
        <f t="shared" si="3"/>
        <v>-0.14275109914667916</v>
      </c>
      <c r="Q29" s="14">
        <f t="shared" si="4"/>
        <v>36495.832000000002</v>
      </c>
    </row>
    <row r="30" spans="1:17" x14ac:dyDescent="0.2">
      <c r="A30" s="6" t="s">
        <v>34</v>
      </c>
      <c r="B30" s="12" t="s">
        <v>36</v>
      </c>
      <c r="C30" s="6">
        <v>51514.3321</v>
      </c>
      <c r="D30" s="12">
        <v>2.9999999999999997E-4</v>
      </c>
      <c r="E30" s="1">
        <f t="shared" si="1"/>
        <v>86.00771106001001</v>
      </c>
      <c r="F30" s="13">
        <f t="shared" si="2"/>
        <v>86.5</v>
      </c>
      <c r="G30" s="1">
        <f t="shared" si="5"/>
        <v>-0.14236749999690801</v>
      </c>
      <c r="I30" s="1">
        <f t="shared" si="6"/>
        <v>-0.14236749999690801</v>
      </c>
      <c r="O30" s="1">
        <f t="shared" si="3"/>
        <v>-0.14275109914667916</v>
      </c>
      <c r="Q30" s="14">
        <f t="shared" si="4"/>
        <v>36495.8321</v>
      </c>
    </row>
    <row r="31" spans="1:17" x14ac:dyDescent="0.2">
      <c r="A31" s="6" t="s">
        <v>34</v>
      </c>
      <c r="B31" s="12" t="s">
        <v>36</v>
      </c>
      <c r="C31" s="6">
        <v>51514.332399999999</v>
      </c>
      <c r="D31" s="12">
        <v>2.0000000000000001E-4</v>
      </c>
      <c r="E31" s="1">
        <f t="shared" si="1"/>
        <v>86.008748422342336</v>
      </c>
      <c r="F31" s="13">
        <f t="shared" si="2"/>
        <v>86.5</v>
      </c>
      <c r="G31" s="1">
        <f t="shared" si="5"/>
        <v>-0.14206749999721069</v>
      </c>
      <c r="I31" s="1">
        <f t="shared" si="6"/>
        <v>-0.14206749999721069</v>
      </c>
      <c r="O31" s="1">
        <f t="shared" si="3"/>
        <v>-0.14275109914667916</v>
      </c>
      <c r="Q31" s="14">
        <f t="shared" si="4"/>
        <v>36495.832399999999</v>
      </c>
    </row>
    <row r="32" spans="1:17" x14ac:dyDescent="0.2">
      <c r="A32" s="15" t="s">
        <v>37</v>
      </c>
      <c r="B32" s="16" t="s">
        <v>36</v>
      </c>
      <c r="C32" s="17">
        <v>52526.332600000002</v>
      </c>
      <c r="D32" s="16">
        <v>2.9999999999999997E-4</v>
      </c>
      <c r="E32" s="1">
        <f t="shared" si="1"/>
        <v>3585.3783779111036</v>
      </c>
      <c r="F32" s="1">
        <f>ROUND(2*E32,0)/2</f>
        <v>3585.5</v>
      </c>
      <c r="G32" s="1">
        <f t="shared" si="0"/>
        <v>-3.5172500000044238E-2</v>
      </c>
      <c r="I32" s="1">
        <f>+G32</f>
        <v>-3.5172500000044238E-2</v>
      </c>
      <c r="O32" s="1">
        <f t="shared" si="3"/>
        <v>-3.5046284093449162E-2</v>
      </c>
      <c r="Q32" s="14">
        <f t="shared" si="4"/>
        <v>37507.832600000002</v>
      </c>
    </row>
    <row r="33" spans="1:17" x14ac:dyDescent="0.2">
      <c r="A33" s="18" t="s">
        <v>38</v>
      </c>
      <c r="B33" s="8" t="s">
        <v>36</v>
      </c>
      <c r="C33" s="18">
        <v>52931.25</v>
      </c>
      <c r="D33" s="8">
        <v>2.0000000000000001E-4</v>
      </c>
      <c r="E33" s="1">
        <f t="shared" si="1"/>
        <v>4985.5319075364378</v>
      </c>
      <c r="F33" s="1">
        <f>ROUND(2*E33,0)/2</f>
        <v>4985.5</v>
      </c>
      <c r="G33" s="1">
        <f t="shared" si="0"/>
        <v>9.227499998814892E-3</v>
      </c>
      <c r="I33" s="1">
        <f>+G33</f>
        <v>9.227499998814892E-3</v>
      </c>
      <c r="O33" s="1">
        <f t="shared" si="3"/>
        <v>8.0479545674602415E-3</v>
      </c>
      <c r="Q33" s="14">
        <f t="shared" si="4"/>
        <v>37912.75</v>
      </c>
    </row>
    <row r="34" spans="1:17" x14ac:dyDescent="0.2">
      <c r="A34" s="18" t="s">
        <v>38</v>
      </c>
      <c r="B34" s="8" t="s">
        <v>35</v>
      </c>
      <c r="C34" s="18">
        <v>52931.537900000003</v>
      </c>
      <c r="D34" s="8">
        <v>2.0000000000000001E-4</v>
      </c>
      <c r="E34" s="1">
        <f t="shared" si="1"/>
        <v>4986.5274295890422</v>
      </c>
      <c r="F34" s="1">
        <f>ROUND(2*E34,0)/2</f>
        <v>4986.5</v>
      </c>
      <c r="G34" s="1">
        <f t="shared" si="0"/>
        <v>7.9325000042445026E-3</v>
      </c>
      <c r="I34" s="1">
        <f>+G34</f>
        <v>7.9325000042445026E-3</v>
      </c>
      <c r="O34" s="1">
        <f t="shared" si="3"/>
        <v>8.0787361665037305E-3</v>
      </c>
      <c r="Q34" s="14">
        <f t="shared" si="4"/>
        <v>37913.037900000003</v>
      </c>
    </row>
    <row r="35" spans="1:17" x14ac:dyDescent="0.2">
      <c r="A35" s="18" t="s">
        <v>38</v>
      </c>
      <c r="B35" s="8" t="s">
        <v>35</v>
      </c>
      <c r="C35" s="18">
        <v>52931.537900000003</v>
      </c>
      <c r="D35" s="8">
        <v>2.0000000000000001E-4</v>
      </c>
      <c r="E35" s="1">
        <f t="shared" si="1"/>
        <v>4986.5274295890422</v>
      </c>
      <c r="F35" s="1">
        <f>ROUND(2*E35,0)/2</f>
        <v>4986.5</v>
      </c>
      <c r="G35" s="1">
        <f t="shared" si="0"/>
        <v>7.9325000042445026E-3</v>
      </c>
      <c r="I35" s="1">
        <f>+G35</f>
        <v>7.9325000042445026E-3</v>
      </c>
      <c r="O35" s="1">
        <f t="shared" si="3"/>
        <v>8.0787361665037305E-3</v>
      </c>
      <c r="Q35" s="14">
        <f t="shared" si="4"/>
        <v>37913.037900000003</v>
      </c>
    </row>
    <row r="36" spans="1:17" x14ac:dyDescent="0.2">
      <c r="A36" s="6" t="s">
        <v>39</v>
      </c>
      <c r="B36" s="16" t="s">
        <v>36</v>
      </c>
      <c r="C36" s="17">
        <v>53025.5357</v>
      </c>
      <c r="D36" s="12">
        <v>2.9999999999999997E-4</v>
      </c>
      <c r="E36" s="1">
        <f t="shared" si="1"/>
        <v>5311.5600200556737</v>
      </c>
      <c r="F36" s="1">
        <f>ROUND(2*E36,0)/2</f>
        <v>5311.5</v>
      </c>
      <c r="G36" s="1">
        <f t="shared" si="0"/>
        <v>1.7357500000798609E-2</v>
      </c>
      <c r="I36" s="1">
        <f>+G36</f>
        <v>1.7357500000798609E-2</v>
      </c>
      <c r="O36" s="1">
        <f t="shared" si="3"/>
        <v>1.8082755855643423E-2</v>
      </c>
      <c r="Q36" s="14">
        <f t="shared" si="4"/>
        <v>38007.0357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3"/>
  <sheetViews>
    <sheetView topLeftCell="A16" workbookViewId="0">
      <selection activeCell="A50" sqref="A50"/>
    </sheetView>
  </sheetViews>
  <sheetFormatPr defaultRowHeight="12.75" x14ac:dyDescent="0.2"/>
  <cols>
    <col min="1" max="1" width="19.7109375" style="18" customWidth="1"/>
    <col min="2" max="2" width="4.42578125" customWidth="1"/>
    <col min="3" max="3" width="12.7109375" style="18" customWidth="1"/>
    <col min="4" max="4" width="5.42578125" customWidth="1"/>
    <col min="5" max="5" width="14.85546875" customWidth="1"/>
    <col min="7" max="7" width="12" customWidth="1"/>
    <col min="8" max="8" width="14.140625" style="1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9" t="s">
        <v>40</v>
      </c>
      <c r="I1" s="20" t="s">
        <v>41</v>
      </c>
      <c r="J1" s="21" t="s">
        <v>42</v>
      </c>
    </row>
    <row r="2" spans="1:16" x14ac:dyDescent="0.2">
      <c r="I2" s="22" t="s">
        <v>43</v>
      </c>
      <c r="J2" s="23" t="s">
        <v>44</v>
      </c>
    </row>
    <row r="3" spans="1:16" x14ac:dyDescent="0.2">
      <c r="A3" s="24" t="s">
        <v>45</v>
      </c>
      <c r="I3" s="22" t="s">
        <v>46</v>
      </c>
      <c r="J3" s="23" t="s">
        <v>47</v>
      </c>
    </row>
    <row r="4" spans="1:16" x14ac:dyDescent="0.2">
      <c r="I4" s="22" t="s">
        <v>48</v>
      </c>
      <c r="J4" s="23" t="s">
        <v>47</v>
      </c>
    </row>
    <row r="5" spans="1:16" x14ac:dyDescent="0.2">
      <c r="I5" s="25" t="s">
        <v>49</v>
      </c>
      <c r="J5" s="26" t="s">
        <v>50</v>
      </c>
    </row>
    <row r="11" spans="1:16" ht="12.75" customHeight="1" x14ac:dyDescent="0.2">
      <c r="A11" s="18" t="str">
        <f t="shared" ref="A11:A53" si="0">P11</f>
        <v>IBVS 4855 </v>
      </c>
      <c r="B11" s="8" t="str">
        <f t="shared" ref="B11:B53" si="1">IF(H11=INT(H11),"I","II")</f>
        <v>I</v>
      </c>
      <c r="C11" s="18">
        <f t="shared" ref="C11:C53" si="2">1*G11</f>
        <v>51465.451999999997</v>
      </c>
      <c r="D11" t="str">
        <f t="shared" ref="D11:D53" si="3">VLOOKUP(F11,I$1:J$5,2,FALSE)</f>
        <v>vis</v>
      </c>
      <c r="E11">
        <f>VLOOKUP(C11,Active!C$21:E$973,3,FALSE)</f>
        <v>-83.004702648824761</v>
      </c>
      <c r="F11" s="8" t="s">
        <v>49</v>
      </c>
      <c r="G11" t="str">
        <f t="shared" ref="G11:G53" si="4">MID(I11,3,LEN(I11)-3)</f>
        <v>51465.4520</v>
      </c>
      <c r="H11" s="18">
        <f t="shared" ref="H11:H53" si="5">1*K11</f>
        <v>-1789</v>
      </c>
      <c r="I11" s="27" t="s">
        <v>51</v>
      </c>
      <c r="J11" s="28" t="s">
        <v>52</v>
      </c>
      <c r="K11" s="27">
        <v>-1789</v>
      </c>
      <c r="L11" s="27" t="s">
        <v>53</v>
      </c>
      <c r="M11" s="28" t="s">
        <v>54</v>
      </c>
      <c r="N11" s="28" t="s">
        <v>55</v>
      </c>
      <c r="O11" s="29" t="s">
        <v>56</v>
      </c>
      <c r="P11" s="30" t="s">
        <v>57</v>
      </c>
    </row>
    <row r="12" spans="1:16" ht="12.75" customHeight="1" x14ac:dyDescent="0.2">
      <c r="A12" s="18" t="str">
        <f t="shared" si="0"/>
        <v>IBVS 4855 </v>
      </c>
      <c r="B12" s="8" t="str">
        <f t="shared" si="1"/>
        <v>I</v>
      </c>
      <c r="C12" s="18">
        <f t="shared" si="2"/>
        <v>51465.452100000002</v>
      </c>
      <c r="D12" t="str">
        <f t="shared" si="3"/>
        <v>vis</v>
      </c>
      <c r="E12">
        <f>VLOOKUP(C12,Active!C$21:E$973,3,FALSE)</f>
        <v>-83.004356898165199</v>
      </c>
      <c r="F12" s="8" t="s">
        <v>49</v>
      </c>
      <c r="G12" t="str">
        <f t="shared" si="4"/>
        <v>51465.4521</v>
      </c>
      <c r="H12" s="18">
        <f t="shared" si="5"/>
        <v>-1789</v>
      </c>
      <c r="I12" s="27" t="s">
        <v>58</v>
      </c>
      <c r="J12" s="28" t="s">
        <v>59</v>
      </c>
      <c r="K12" s="27">
        <v>-1789</v>
      </c>
      <c r="L12" s="27" t="s">
        <v>60</v>
      </c>
      <c r="M12" s="28" t="s">
        <v>54</v>
      </c>
      <c r="N12" s="28" t="s">
        <v>61</v>
      </c>
      <c r="O12" s="29" t="s">
        <v>56</v>
      </c>
      <c r="P12" s="30" t="s">
        <v>57</v>
      </c>
    </row>
    <row r="13" spans="1:16" ht="12.75" customHeight="1" x14ac:dyDescent="0.2">
      <c r="A13" s="18" t="str">
        <f t="shared" si="0"/>
        <v>IBVS 4855 </v>
      </c>
      <c r="B13" s="8" t="str">
        <f t="shared" si="1"/>
        <v>I</v>
      </c>
      <c r="C13" s="18">
        <f t="shared" si="2"/>
        <v>51465.453000000001</v>
      </c>
      <c r="D13" t="str">
        <f t="shared" si="3"/>
        <v>vis</v>
      </c>
      <c r="E13">
        <f>VLOOKUP(C13,Active!C$21:E$973,3,FALSE)</f>
        <v>-83.0012451423801</v>
      </c>
      <c r="F13" s="8" t="s">
        <v>49</v>
      </c>
      <c r="G13" t="str">
        <f t="shared" si="4"/>
        <v>51465.4530</v>
      </c>
      <c r="H13" s="18">
        <f t="shared" si="5"/>
        <v>-1789</v>
      </c>
      <c r="I13" s="27" t="s">
        <v>62</v>
      </c>
      <c r="J13" s="28" t="s">
        <v>63</v>
      </c>
      <c r="K13" s="27">
        <v>-1789</v>
      </c>
      <c r="L13" s="27" t="s">
        <v>64</v>
      </c>
      <c r="M13" s="28" t="s">
        <v>54</v>
      </c>
      <c r="N13" s="28" t="s">
        <v>65</v>
      </c>
      <c r="O13" s="29" t="s">
        <v>56</v>
      </c>
      <c r="P13" s="30" t="s">
        <v>57</v>
      </c>
    </row>
    <row r="14" spans="1:16" ht="12.75" customHeight="1" x14ac:dyDescent="0.2">
      <c r="A14" s="18" t="str">
        <f t="shared" si="0"/>
        <v>IBVS 4855 </v>
      </c>
      <c r="B14" s="8" t="str">
        <f t="shared" si="1"/>
        <v>II</v>
      </c>
      <c r="C14" s="18">
        <f t="shared" si="2"/>
        <v>51489.4591</v>
      </c>
      <c r="D14" t="str">
        <f t="shared" si="3"/>
        <v>vis</v>
      </c>
      <c r="E14">
        <f>VLOOKUP(C14,Active!C$21:E$973,3,FALSE)</f>
        <v>0</v>
      </c>
      <c r="F14" s="8" t="s">
        <v>49</v>
      </c>
      <c r="G14" t="str">
        <f t="shared" si="4"/>
        <v>51489.4591</v>
      </c>
      <c r="H14" s="18">
        <f t="shared" si="5"/>
        <v>-1747.5</v>
      </c>
      <c r="I14" s="27" t="s">
        <v>66</v>
      </c>
      <c r="J14" s="28" t="s">
        <v>67</v>
      </c>
      <c r="K14" s="27">
        <v>-1747.5</v>
      </c>
      <c r="L14" s="27" t="s">
        <v>68</v>
      </c>
      <c r="M14" s="28" t="s">
        <v>54</v>
      </c>
      <c r="N14" s="28" t="s">
        <v>61</v>
      </c>
      <c r="O14" s="29" t="s">
        <v>56</v>
      </c>
      <c r="P14" s="30" t="s">
        <v>57</v>
      </c>
    </row>
    <row r="15" spans="1:16" ht="12.75" customHeight="1" x14ac:dyDescent="0.2">
      <c r="A15" s="18" t="str">
        <f t="shared" si="0"/>
        <v>IBVS 4855 </v>
      </c>
      <c r="B15" s="8" t="str">
        <f t="shared" si="1"/>
        <v>II</v>
      </c>
      <c r="C15" s="18">
        <f t="shared" si="2"/>
        <v>51489.4594</v>
      </c>
      <c r="D15" t="str">
        <f t="shared" si="3"/>
        <v>vis</v>
      </c>
      <c r="E15">
        <f>VLOOKUP(C15,Active!C$21:E$973,3,FALSE)</f>
        <v>1.0372519283678972E-3</v>
      </c>
      <c r="F15" s="8" t="s">
        <v>49</v>
      </c>
      <c r="G15" t="str">
        <f t="shared" si="4"/>
        <v>51489.4594</v>
      </c>
      <c r="H15" s="18">
        <f t="shared" si="5"/>
        <v>-1747.5</v>
      </c>
      <c r="I15" s="27" t="s">
        <v>69</v>
      </c>
      <c r="J15" s="28" t="s">
        <v>67</v>
      </c>
      <c r="K15" s="27">
        <v>-1747.5</v>
      </c>
      <c r="L15" s="27" t="s">
        <v>70</v>
      </c>
      <c r="M15" s="28" t="s">
        <v>54</v>
      </c>
      <c r="N15" s="28" t="s">
        <v>55</v>
      </c>
      <c r="O15" s="29" t="s">
        <v>56</v>
      </c>
      <c r="P15" s="30" t="s">
        <v>57</v>
      </c>
    </row>
    <row r="16" spans="1:16" ht="12.75" customHeight="1" x14ac:dyDescent="0.2">
      <c r="A16" s="18" t="str">
        <f t="shared" si="0"/>
        <v>IBVS 4855 </v>
      </c>
      <c r="B16" s="8" t="str">
        <f t="shared" si="1"/>
        <v>II</v>
      </c>
      <c r="C16" s="18">
        <f t="shared" si="2"/>
        <v>51489.459499999997</v>
      </c>
      <c r="D16" t="str">
        <f t="shared" si="3"/>
        <v>vis</v>
      </c>
      <c r="E16">
        <f>VLOOKUP(C16,Active!C$21:E$973,3,FALSE)</f>
        <v>1.3830025627716395E-3</v>
      </c>
      <c r="F16" s="8" t="s">
        <v>49</v>
      </c>
      <c r="G16" t="str">
        <f t="shared" si="4"/>
        <v>51489.4595</v>
      </c>
      <c r="H16" s="18">
        <f t="shared" si="5"/>
        <v>-1747.5</v>
      </c>
      <c r="I16" s="27" t="s">
        <v>71</v>
      </c>
      <c r="J16" s="28" t="s">
        <v>67</v>
      </c>
      <c r="K16" s="27">
        <v>-1747.5</v>
      </c>
      <c r="L16" s="27" t="s">
        <v>72</v>
      </c>
      <c r="M16" s="28" t="s">
        <v>54</v>
      </c>
      <c r="N16" s="28" t="s">
        <v>65</v>
      </c>
      <c r="O16" s="29" t="s">
        <v>56</v>
      </c>
      <c r="P16" s="30" t="s">
        <v>57</v>
      </c>
    </row>
    <row r="17" spans="1:16" ht="12.75" customHeight="1" x14ac:dyDescent="0.2">
      <c r="A17" s="18" t="str">
        <f t="shared" si="0"/>
        <v>IBVS 4855 </v>
      </c>
      <c r="B17" s="8" t="str">
        <f t="shared" si="1"/>
        <v>II</v>
      </c>
      <c r="C17" s="18">
        <f t="shared" si="2"/>
        <v>51510.280400000003</v>
      </c>
      <c r="D17" t="str">
        <f t="shared" si="3"/>
        <v>vis</v>
      </c>
      <c r="E17">
        <f>VLOOKUP(C17,Active!C$21:E$973,3,FALSE)</f>
        <v>71.989778659732409</v>
      </c>
      <c r="F17" s="8" t="s">
        <v>49</v>
      </c>
      <c r="G17" t="str">
        <f t="shared" si="4"/>
        <v>51510.2804</v>
      </c>
      <c r="H17" s="18">
        <f t="shared" si="5"/>
        <v>-1711.5</v>
      </c>
      <c r="I17" s="27" t="s">
        <v>73</v>
      </c>
      <c r="J17" s="28" t="s">
        <v>74</v>
      </c>
      <c r="K17" s="27">
        <v>-1711.5</v>
      </c>
      <c r="L17" s="27" t="s">
        <v>75</v>
      </c>
      <c r="M17" s="28" t="s">
        <v>54</v>
      </c>
      <c r="N17" s="28" t="s">
        <v>61</v>
      </c>
      <c r="O17" s="29" t="s">
        <v>56</v>
      </c>
      <c r="P17" s="30" t="s">
        <v>57</v>
      </c>
    </row>
    <row r="18" spans="1:16" ht="12.75" customHeight="1" x14ac:dyDescent="0.2">
      <c r="A18" s="18" t="str">
        <f t="shared" si="0"/>
        <v>IBVS 4855 </v>
      </c>
      <c r="B18" s="8" t="str">
        <f t="shared" si="1"/>
        <v>II</v>
      </c>
      <c r="C18" s="18">
        <f t="shared" si="2"/>
        <v>51510.2808</v>
      </c>
      <c r="D18" t="str">
        <f t="shared" si="3"/>
        <v>vis</v>
      </c>
      <c r="E18">
        <f>VLOOKUP(C18,Active!C$21:E$973,3,FALSE)</f>
        <v>71.991161662295184</v>
      </c>
      <c r="F18" s="8" t="s">
        <v>49</v>
      </c>
      <c r="G18" t="str">
        <f t="shared" si="4"/>
        <v>51510.2808</v>
      </c>
      <c r="H18" s="18">
        <f t="shared" si="5"/>
        <v>-1711.5</v>
      </c>
      <c r="I18" s="27" t="s">
        <v>76</v>
      </c>
      <c r="J18" s="28" t="s">
        <v>77</v>
      </c>
      <c r="K18" s="27">
        <v>-1711.5</v>
      </c>
      <c r="L18" s="27" t="s">
        <v>78</v>
      </c>
      <c r="M18" s="28" t="s">
        <v>54</v>
      </c>
      <c r="N18" s="28" t="s">
        <v>55</v>
      </c>
      <c r="O18" s="29" t="s">
        <v>56</v>
      </c>
      <c r="P18" s="30" t="s">
        <v>57</v>
      </c>
    </row>
    <row r="19" spans="1:16" ht="12.75" customHeight="1" x14ac:dyDescent="0.2">
      <c r="A19" s="18" t="str">
        <f t="shared" si="0"/>
        <v>IBVS 4855 </v>
      </c>
      <c r="B19" s="8" t="str">
        <f t="shared" si="1"/>
        <v>II</v>
      </c>
      <c r="C19" s="18">
        <f t="shared" si="2"/>
        <v>51514.332000000002</v>
      </c>
      <c r="D19" t="str">
        <f t="shared" si="3"/>
        <v>vis</v>
      </c>
      <c r="E19">
        <f>VLOOKUP(C19,Active!C$21:E$973,3,FALSE)</f>
        <v>85.998211717113307</v>
      </c>
      <c r="F19" s="8" t="s">
        <v>49</v>
      </c>
      <c r="G19" t="str">
        <f t="shared" si="4"/>
        <v>51514.3320</v>
      </c>
      <c r="H19" s="18">
        <f t="shared" si="5"/>
        <v>-1704.5</v>
      </c>
      <c r="I19" s="27" t="s">
        <v>79</v>
      </c>
      <c r="J19" s="28" t="s">
        <v>80</v>
      </c>
      <c r="K19" s="27">
        <v>-1704.5</v>
      </c>
      <c r="L19" s="27" t="s">
        <v>81</v>
      </c>
      <c r="M19" s="28" t="s">
        <v>54</v>
      </c>
      <c r="N19" s="28" t="s">
        <v>61</v>
      </c>
      <c r="O19" s="29" t="s">
        <v>56</v>
      </c>
      <c r="P19" s="30" t="s">
        <v>57</v>
      </c>
    </row>
    <row r="20" spans="1:16" ht="12.75" customHeight="1" x14ac:dyDescent="0.2">
      <c r="A20" s="18" t="str">
        <f t="shared" si="0"/>
        <v>IBVS 4855 </v>
      </c>
      <c r="B20" s="8" t="str">
        <f t="shared" si="1"/>
        <v>II</v>
      </c>
      <c r="C20" s="18">
        <f t="shared" si="2"/>
        <v>51514.3321</v>
      </c>
      <c r="D20" t="str">
        <f t="shared" si="3"/>
        <v>vis</v>
      </c>
      <c r="E20">
        <f>VLOOKUP(C20,Active!C$21:E$973,3,FALSE)</f>
        <v>85.998557467747716</v>
      </c>
      <c r="F20" s="8" t="s">
        <v>49</v>
      </c>
      <c r="G20" t="str">
        <f t="shared" si="4"/>
        <v>51514.3321</v>
      </c>
      <c r="H20" s="18">
        <f t="shared" si="5"/>
        <v>-1704.5</v>
      </c>
      <c r="I20" s="27" t="s">
        <v>82</v>
      </c>
      <c r="J20" s="28" t="s">
        <v>80</v>
      </c>
      <c r="K20" s="27">
        <v>-1704.5</v>
      </c>
      <c r="L20" s="27" t="s">
        <v>64</v>
      </c>
      <c r="M20" s="28" t="s">
        <v>54</v>
      </c>
      <c r="N20" s="28" t="s">
        <v>55</v>
      </c>
      <c r="O20" s="29" t="s">
        <v>56</v>
      </c>
      <c r="P20" s="30" t="s">
        <v>57</v>
      </c>
    </row>
    <row r="21" spans="1:16" ht="12.75" customHeight="1" x14ac:dyDescent="0.2">
      <c r="A21" s="18" t="str">
        <f t="shared" si="0"/>
        <v>IBVS 4855 </v>
      </c>
      <c r="B21" s="8" t="str">
        <f t="shared" si="1"/>
        <v>II</v>
      </c>
      <c r="C21" s="18">
        <f t="shared" si="2"/>
        <v>51514.332399999999</v>
      </c>
      <c r="D21" t="str">
        <f t="shared" si="3"/>
        <v>vis</v>
      </c>
      <c r="E21">
        <f>VLOOKUP(C21,Active!C$21:E$973,3,FALSE)</f>
        <v>85.999594719676082</v>
      </c>
      <c r="F21" s="8" t="s">
        <v>49</v>
      </c>
      <c r="G21" t="str">
        <f t="shared" si="4"/>
        <v>51514.3324</v>
      </c>
      <c r="H21" s="18">
        <f t="shared" si="5"/>
        <v>-1704.5</v>
      </c>
      <c r="I21" s="27" t="s">
        <v>83</v>
      </c>
      <c r="J21" s="28" t="s">
        <v>80</v>
      </c>
      <c r="K21" s="27">
        <v>-1704.5</v>
      </c>
      <c r="L21" s="27" t="s">
        <v>84</v>
      </c>
      <c r="M21" s="28" t="s">
        <v>54</v>
      </c>
      <c r="N21" s="28" t="s">
        <v>65</v>
      </c>
      <c r="O21" s="29" t="s">
        <v>56</v>
      </c>
      <c r="P21" s="30" t="s">
        <v>57</v>
      </c>
    </row>
    <row r="22" spans="1:16" ht="12.75" customHeight="1" x14ac:dyDescent="0.2">
      <c r="A22" s="18" t="str">
        <f t="shared" si="0"/>
        <v>IBVS 5282 </v>
      </c>
      <c r="B22" s="8" t="str">
        <f t="shared" si="1"/>
        <v>II</v>
      </c>
      <c r="C22" s="18">
        <f t="shared" si="2"/>
        <v>51810.498599999999</v>
      </c>
      <c r="D22" t="str">
        <f t="shared" si="3"/>
        <v>vis</v>
      </c>
      <c r="E22">
        <f>VLOOKUP(C22,Active!C$21:E$973,3,FALSE)</f>
        <v>1109.9961359774597</v>
      </c>
      <c r="F22" s="8" t="s">
        <v>49</v>
      </c>
      <c r="G22" t="str">
        <f t="shared" si="4"/>
        <v>51810.4986</v>
      </c>
      <c r="H22" s="18">
        <f t="shared" si="5"/>
        <v>-1192.5</v>
      </c>
      <c r="I22" s="27" t="s">
        <v>85</v>
      </c>
      <c r="J22" s="28" t="s">
        <v>86</v>
      </c>
      <c r="K22" s="27">
        <v>-1192.5</v>
      </c>
      <c r="L22" s="27" t="s">
        <v>87</v>
      </c>
      <c r="M22" s="28" t="s">
        <v>54</v>
      </c>
      <c r="N22" s="28" t="s">
        <v>88</v>
      </c>
      <c r="O22" s="29" t="s">
        <v>89</v>
      </c>
      <c r="P22" s="30" t="s">
        <v>90</v>
      </c>
    </row>
    <row r="23" spans="1:16" ht="12.75" customHeight="1" x14ac:dyDescent="0.2">
      <c r="A23" s="18" t="str">
        <f t="shared" si="0"/>
        <v>IBVS 5282 </v>
      </c>
      <c r="B23" s="8" t="str">
        <f t="shared" si="1"/>
        <v>I</v>
      </c>
      <c r="C23" s="18">
        <f t="shared" si="2"/>
        <v>51812.523300000001</v>
      </c>
      <c r="D23" t="str">
        <f t="shared" si="3"/>
        <v>vis</v>
      </c>
      <c r="E23">
        <f>VLOOKUP(C23,Active!C$21:E$973,3,FALSE)</f>
        <v>1116.9965492490837</v>
      </c>
      <c r="F23" s="8" t="s">
        <v>49</v>
      </c>
      <c r="G23" t="str">
        <f t="shared" si="4"/>
        <v>51812.5233</v>
      </c>
      <c r="H23" s="18">
        <f t="shared" si="5"/>
        <v>-1189</v>
      </c>
      <c r="I23" s="27" t="s">
        <v>91</v>
      </c>
      <c r="J23" s="28" t="s">
        <v>92</v>
      </c>
      <c r="K23" s="27">
        <v>-1189</v>
      </c>
      <c r="L23" s="27" t="s">
        <v>64</v>
      </c>
      <c r="M23" s="28" t="s">
        <v>54</v>
      </c>
      <c r="N23" s="28" t="s">
        <v>88</v>
      </c>
      <c r="O23" s="29" t="s">
        <v>89</v>
      </c>
      <c r="P23" s="30" t="s">
        <v>90</v>
      </c>
    </row>
    <row r="24" spans="1:16" ht="12.75" customHeight="1" x14ac:dyDescent="0.2">
      <c r="A24" s="18" t="str">
        <f t="shared" si="0"/>
        <v>IBVS 5282 </v>
      </c>
      <c r="B24" s="8" t="str">
        <f t="shared" si="1"/>
        <v>II</v>
      </c>
      <c r="C24" s="18">
        <f t="shared" si="2"/>
        <v>51817.441200000001</v>
      </c>
      <c r="D24" t="str">
        <f t="shared" si="3"/>
        <v>vis</v>
      </c>
      <c r="E24">
        <f>VLOOKUP(C24,Active!C$21:E$973,3,FALSE)</f>
        <v>1134.0002201279756</v>
      </c>
      <c r="F24" s="8" t="s">
        <v>49</v>
      </c>
      <c r="G24" t="str">
        <f t="shared" si="4"/>
        <v>51817.4412</v>
      </c>
      <c r="H24" s="18">
        <f t="shared" si="5"/>
        <v>-1180.5</v>
      </c>
      <c r="I24" s="27" t="s">
        <v>93</v>
      </c>
      <c r="J24" s="28" t="s">
        <v>94</v>
      </c>
      <c r="K24" s="27">
        <v>-1180.5</v>
      </c>
      <c r="L24" s="27" t="s">
        <v>95</v>
      </c>
      <c r="M24" s="28" t="s">
        <v>54</v>
      </c>
      <c r="N24" s="28" t="s">
        <v>88</v>
      </c>
      <c r="O24" s="29" t="s">
        <v>89</v>
      </c>
      <c r="P24" s="30" t="s">
        <v>90</v>
      </c>
    </row>
    <row r="25" spans="1:16" ht="12.75" customHeight="1" x14ac:dyDescent="0.2">
      <c r="A25" s="18" t="str">
        <f t="shared" si="0"/>
        <v>IBVS 5282 </v>
      </c>
      <c r="B25" s="8" t="str">
        <f t="shared" si="1"/>
        <v>I</v>
      </c>
      <c r="C25" s="18">
        <f t="shared" si="2"/>
        <v>51819.466200000003</v>
      </c>
      <c r="D25" t="str">
        <f t="shared" si="3"/>
        <v>vis</v>
      </c>
      <c r="E25">
        <f>VLOOKUP(C25,Active!C$21:E$973,3,FALSE)</f>
        <v>1141.0016706515278</v>
      </c>
      <c r="F25" s="8" t="s">
        <v>49</v>
      </c>
      <c r="G25" t="str">
        <f t="shared" si="4"/>
        <v>51819.4662</v>
      </c>
      <c r="H25" s="18">
        <f t="shared" si="5"/>
        <v>-1177</v>
      </c>
      <c r="I25" s="27" t="s">
        <v>96</v>
      </c>
      <c r="J25" s="28" t="s">
        <v>97</v>
      </c>
      <c r="K25" s="27">
        <v>-1177</v>
      </c>
      <c r="L25" s="27" t="s">
        <v>98</v>
      </c>
      <c r="M25" s="28" t="s">
        <v>54</v>
      </c>
      <c r="N25" s="28" t="s">
        <v>88</v>
      </c>
      <c r="O25" s="29" t="s">
        <v>89</v>
      </c>
      <c r="P25" s="30" t="s">
        <v>90</v>
      </c>
    </row>
    <row r="26" spans="1:16" ht="12.75" customHeight="1" x14ac:dyDescent="0.2">
      <c r="A26" s="18" t="str">
        <f t="shared" si="0"/>
        <v>IBVS 5407 </v>
      </c>
      <c r="B26" s="8" t="str">
        <f t="shared" si="1"/>
        <v>I</v>
      </c>
      <c r="C26" s="18">
        <f t="shared" si="2"/>
        <v>52526.332600000002</v>
      </c>
      <c r="D26" t="str">
        <f t="shared" si="3"/>
        <v>vis</v>
      </c>
      <c r="E26">
        <f>VLOOKUP(C26,Active!C$21:E$973,3,FALSE)</f>
        <v>3584.9967947789291</v>
      </c>
      <c r="F26" s="8" t="s">
        <v>49</v>
      </c>
      <c r="G26" t="str">
        <f t="shared" si="4"/>
        <v>52526.3326</v>
      </c>
      <c r="H26" s="18">
        <f t="shared" si="5"/>
        <v>45</v>
      </c>
      <c r="I26" s="27" t="s">
        <v>99</v>
      </c>
      <c r="J26" s="28" t="s">
        <v>100</v>
      </c>
      <c r="K26" s="27">
        <v>45</v>
      </c>
      <c r="L26" s="27" t="s">
        <v>101</v>
      </c>
      <c r="M26" s="28" t="s">
        <v>54</v>
      </c>
      <c r="N26" s="28" t="s">
        <v>88</v>
      </c>
      <c r="O26" s="29" t="s">
        <v>102</v>
      </c>
      <c r="P26" s="30" t="s">
        <v>103</v>
      </c>
    </row>
    <row r="27" spans="1:16" ht="12.75" customHeight="1" x14ac:dyDescent="0.2">
      <c r="A27" s="18" t="str">
        <f t="shared" si="0"/>
        <v>IBVS 5623 </v>
      </c>
      <c r="B27" s="8" t="str">
        <f t="shared" si="1"/>
        <v>I</v>
      </c>
      <c r="C27" s="18">
        <f t="shared" si="2"/>
        <v>52931.25</v>
      </c>
      <c r="D27" t="str">
        <f t="shared" si="3"/>
        <v>vis</v>
      </c>
      <c r="E27">
        <f>VLOOKUP(C27,Active!C$21:E$973,3,FALSE)</f>
        <v>4985.0013094571514</v>
      </c>
      <c r="F27" s="8" t="s">
        <v>49</v>
      </c>
      <c r="G27" t="str">
        <f t="shared" si="4"/>
        <v>52931.2500</v>
      </c>
      <c r="H27" s="18">
        <f t="shared" si="5"/>
        <v>745</v>
      </c>
      <c r="I27" s="27" t="s">
        <v>104</v>
      </c>
      <c r="J27" s="28" t="s">
        <v>105</v>
      </c>
      <c r="K27" s="27">
        <v>745</v>
      </c>
      <c r="L27" s="27" t="s">
        <v>106</v>
      </c>
      <c r="M27" s="28" t="s">
        <v>54</v>
      </c>
      <c r="N27" s="28" t="s">
        <v>88</v>
      </c>
      <c r="O27" s="29" t="s">
        <v>107</v>
      </c>
      <c r="P27" s="30" t="s">
        <v>108</v>
      </c>
    </row>
    <row r="28" spans="1:16" ht="12.75" customHeight="1" x14ac:dyDescent="0.2">
      <c r="A28" s="18" t="str">
        <f t="shared" si="0"/>
        <v>IBVS 5623 </v>
      </c>
      <c r="B28" s="8" t="str">
        <f t="shared" si="1"/>
        <v>II</v>
      </c>
      <c r="C28" s="18">
        <f t="shared" si="2"/>
        <v>52931.537900000003</v>
      </c>
      <c r="D28" t="str">
        <f t="shared" si="3"/>
        <v>vis</v>
      </c>
      <c r="E28">
        <f>VLOOKUP(C28,Active!C$21:E$973,3,FALSE)</f>
        <v>4985.9967255587562</v>
      </c>
      <c r="F28" s="8" t="s">
        <v>49</v>
      </c>
      <c r="G28" t="str">
        <f t="shared" si="4"/>
        <v>52931.5379</v>
      </c>
      <c r="H28" s="18">
        <f t="shared" si="5"/>
        <v>745.5</v>
      </c>
      <c r="I28" s="27" t="s">
        <v>109</v>
      </c>
      <c r="J28" s="28" t="s">
        <v>110</v>
      </c>
      <c r="K28" s="27">
        <v>745.5</v>
      </c>
      <c r="L28" s="27" t="s">
        <v>111</v>
      </c>
      <c r="M28" s="28" t="s">
        <v>54</v>
      </c>
      <c r="N28" s="28" t="s">
        <v>88</v>
      </c>
      <c r="O28" s="29" t="s">
        <v>107</v>
      </c>
      <c r="P28" s="30" t="s">
        <v>108</v>
      </c>
    </row>
    <row r="29" spans="1:16" ht="12.75" customHeight="1" x14ac:dyDescent="0.2">
      <c r="A29" s="18" t="str">
        <f t="shared" si="0"/>
        <v>IBVS 5603 </v>
      </c>
      <c r="B29" s="8" t="str">
        <f t="shared" si="1"/>
        <v>I</v>
      </c>
      <c r="C29" s="18">
        <f t="shared" si="2"/>
        <v>53025.5357</v>
      </c>
      <c r="D29" t="str">
        <f t="shared" si="3"/>
        <v>vis</v>
      </c>
      <c r="E29">
        <f>VLOOKUP(C29,Active!C$21:E$973,3,FALSE)</f>
        <v>5310.9947235944483</v>
      </c>
      <c r="F29" s="8" t="s">
        <v>49</v>
      </c>
      <c r="G29" t="str">
        <f t="shared" si="4"/>
        <v>53025.5357</v>
      </c>
      <c r="H29" s="18">
        <f t="shared" si="5"/>
        <v>908</v>
      </c>
      <c r="I29" s="27" t="s">
        <v>112</v>
      </c>
      <c r="J29" s="28" t="s">
        <v>113</v>
      </c>
      <c r="K29" s="27">
        <v>908</v>
      </c>
      <c r="L29" s="27" t="s">
        <v>98</v>
      </c>
      <c r="M29" s="28" t="s">
        <v>54</v>
      </c>
      <c r="N29" s="28" t="s">
        <v>88</v>
      </c>
      <c r="O29" s="29" t="s">
        <v>114</v>
      </c>
      <c r="P29" s="30" t="s">
        <v>115</v>
      </c>
    </row>
    <row r="30" spans="1:16" ht="12.75" customHeight="1" x14ac:dyDescent="0.2">
      <c r="A30" s="18" t="str">
        <f t="shared" si="0"/>
        <v>IBVS 5843 </v>
      </c>
      <c r="B30" s="8" t="str">
        <f t="shared" si="1"/>
        <v>I</v>
      </c>
      <c r="C30" s="18">
        <f t="shared" si="2"/>
        <v>53266.7474</v>
      </c>
      <c r="D30" t="str">
        <f t="shared" si="3"/>
        <v>vis</v>
      </c>
      <c r="E30">
        <f>VLOOKUP(C30,Active!C$21:E$973,3,FALSE)</f>
        <v>6144.9857276688845</v>
      </c>
      <c r="F30" s="8" t="s">
        <v>49</v>
      </c>
      <c r="G30" t="str">
        <f t="shared" si="4"/>
        <v>53266.7474</v>
      </c>
      <c r="H30" s="18">
        <f t="shared" si="5"/>
        <v>1325</v>
      </c>
      <c r="I30" s="27" t="s">
        <v>116</v>
      </c>
      <c r="J30" s="28" t="s">
        <v>117</v>
      </c>
      <c r="K30" s="27">
        <v>1325</v>
      </c>
      <c r="L30" s="27" t="s">
        <v>118</v>
      </c>
      <c r="M30" s="28" t="s">
        <v>119</v>
      </c>
      <c r="N30" s="28" t="s">
        <v>120</v>
      </c>
      <c r="O30" s="29" t="s">
        <v>121</v>
      </c>
      <c r="P30" s="30" t="s">
        <v>122</v>
      </c>
    </row>
    <row r="31" spans="1:16" ht="12.75" customHeight="1" x14ac:dyDescent="0.2">
      <c r="A31" s="18" t="str">
        <f t="shared" si="0"/>
        <v>IBVS 5843 </v>
      </c>
      <c r="B31" s="8" t="str">
        <f t="shared" si="1"/>
        <v>I</v>
      </c>
      <c r="C31" s="18">
        <f t="shared" si="2"/>
        <v>53273.688399999999</v>
      </c>
      <c r="D31" t="str">
        <f t="shared" si="3"/>
        <v>vis</v>
      </c>
      <c r="E31">
        <f>VLOOKUP(C31,Active!C$21:E$973,3,FALSE)</f>
        <v>6168.9842798090986</v>
      </c>
      <c r="F31" s="8" t="s">
        <v>49</v>
      </c>
      <c r="G31" t="str">
        <f t="shared" si="4"/>
        <v>53273.6884</v>
      </c>
      <c r="H31" s="18">
        <f t="shared" si="5"/>
        <v>1337</v>
      </c>
      <c r="I31" s="27" t="s">
        <v>123</v>
      </c>
      <c r="J31" s="28" t="s">
        <v>124</v>
      </c>
      <c r="K31" s="27" t="s">
        <v>125</v>
      </c>
      <c r="L31" s="27" t="s">
        <v>126</v>
      </c>
      <c r="M31" s="28" t="s">
        <v>119</v>
      </c>
      <c r="N31" s="28" t="s">
        <v>120</v>
      </c>
      <c r="O31" s="29" t="s">
        <v>121</v>
      </c>
      <c r="P31" s="30" t="s">
        <v>122</v>
      </c>
    </row>
    <row r="32" spans="1:16" ht="12.75" customHeight="1" x14ac:dyDescent="0.2">
      <c r="A32" s="18" t="str">
        <f t="shared" si="0"/>
        <v>IBVS 5649 </v>
      </c>
      <c r="B32" s="8" t="str">
        <f t="shared" si="1"/>
        <v>I</v>
      </c>
      <c r="C32" s="18">
        <f t="shared" si="2"/>
        <v>53607.456700000002</v>
      </c>
      <c r="D32" t="str">
        <f t="shared" si="3"/>
        <v>vis</v>
      </c>
      <c r="E32">
        <f>VLOOKUP(C32,Active!C$21:E$973,3,FALSE)</f>
        <v>7322.9903236503415</v>
      </c>
      <c r="F32" s="8" t="s">
        <v>49</v>
      </c>
      <c r="G32" t="str">
        <f t="shared" si="4"/>
        <v>53607.4567</v>
      </c>
      <c r="H32" s="18">
        <f t="shared" si="5"/>
        <v>1914</v>
      </c>
      <c r="I32" s="27" t="s">
        <v>127</v>
      </c>
      <c r="J32" s="28" t="s">
        <v>128</v>
      </c>
      <c r="K32" s="27" t="s">
        <v>129</v>
      </c>
      <c r="L32" s="27" t="s">
        <v>101</v>
      </c>
      <c r="M32" s="28" t="s">
        <v>54</v>
      </c>
      <c r="N32" s="28" t="s">
        <v>88</v>
      </c>
      <c r="O32" s="29" t="s">
        <v>130</v>
      </c>
      <c r="P32" s="30" t="s">
        <v>131</v>
      </c>
    </row>
    <row r="33" spans="1:16" ht="12.75" customHeight="1" x14ac:dyDescent="0.2">
      <c r="A33" s="18" t="str">
        <f t="shared" si="0"/>
        <v>BAVM 183 </v>
      </c>
      <c r="B33" s="8" t="str">
        <f t="shared" si="1"/>
        <v>II</v>
      </c>
      <c r="C33" s="18">
        <f t="shared" si="2"/>
        <v>54000.513700000003</v>
      </c>
      <c r="D33" t="str">
        <f t="shared" si="3"/>
        <v>vis</v>
      </c>
      <c r="E33">
        <f>VLOOKUP(C33,Active!C$21:E$973,3,FALSE)</f>
        <v>8681.9874290498155</v>
      </c>
      <c r="F33" s="8" t="s">
        <v>49</v>
      </c>
      <c r="G33" t="str">
        <f t="shared" si="4"/>
        <v>54000.5137</v>
      </c>
      <c r="H33" s="18">
        <f t="shared" si="5"/>
        <v>2593.5</v>
      </c>
      <c r="I33" s="27" t="s">
        <v>132</v>
      </c>
      <c r="J33" s="28" t="s">
        <v>133</v>
      </c>
      <c r="K33" s="27" t="s">
        <v>134</v>
      </c>
      <c r="L33" s="27" t="s">
        <v>95</v>
      </c>
      <c r="M33" s="28" t="s">
        <v>119</v>
      </c>
      <c r="N33" s="28" t="s">
        <v>120</v>
      </c>
      <c r="O33" s="29" t="s">
        <v>135</v>
      </c>
      <c r="P33" s="30" t="s">
        <v>136</v>
      </c>
    </row>
    <row r="34" spans="1:16" ht="12.75" customHeight="1" x14ac:dyDescent="0.2">
      <c r="A34" s="18" t="str">
        <f t="shared" si="0"/>
        <v>IBVS 5777 </v>
      </c>
      <c r="B34" s="8" t="str">
        <f t="shared" si="1"/>
        <v>I</v>
      </c>
      <c r="C34" s="18">
        <f t="shared" si="2"/>
        <v>54005.432000000001</v>
      </c>
      <c r="D34" t="str">
        <f t="shared" si="3"/>
        <v>vis</v>
      </c>
      <c r="E34">
        <f>VLOOKUP(C34,Active!C$21:E$973,3,FALSE)</f>
        <v>8698.9924829312695</v>
      </c>
      <c r="F34" s="8" t="s">
        <v>49</v>
      </c>
      <c r="G34" t="str">
        <f t="shared" si="4"/>
        <v>54005.4320</v>
      </c>
      <c r="H34" s="18">
        <f t="shared" si="5"/>
        <v>2602</v>
      </c>
      <c r="I34" s="27" t="s">
        <v>137</v>
      </c>
      <c r="J34" s="28" t="s">
        <v>138</v>
      </c>
      <c r="K34" s="27" t="s">
        <v>139</v>
      </c>
      <c r="L34" s="27" t="s">
        <v>140</v>
      </c>
      <c r="M34" s="28" t="s">
        <v>119</v>
      </c>
      <c r="N34" s="28" t="s">
        <v>141</v>
      </c>
      <c r="O34" s="29" t="s">
        <v>142</v>
      </c>
      <c r="P34" s="30" t="s">
        <v>143</v>
      </c>
    </row>
    <row r="35" spans="1:16" ht="12.75" customHeight="1" x14ac:dyDescent="0.2">
      <c r="A35" s="18" t="str">
        <f t="shared" si="0"/>
        <v>JAAVSO 36(2);171 </v>
      </c>
      <c r="B35" s="8" t="str">
        <f t="shared" si="1"/>
        <v>I</v>
      </c>
      <c r="C35" s="18">
        <f t="shared" si="2"/>
        <v>54061.541899999997</v>
      </c>
      <c r="D35" t="str">
        <f t="shared" si="3"/>
        <v>vis</v>
      </c>
      <c r="E35">
        <f>VLOOKUP(C35,Active!C$21:E$973,3,FALSE)</f>
        <v>8892.9928230454225</v>
      </c>
      <c r="F35" s="8" t="s">
        <v>49</v>
      </c>
      <c r="G35" t="str">
        <f t="shared" si="4"/>
        <v>54061.5419</v>
      </c>
      <c r="H35" s="18">
        <f t="shared" si="5"/>
        <v>2699</v>
      </c>
      <c r="I35" s="27" t="s">
        <v>144</v>
      </c>
      <c r="J35" s="28" t="s">
        <v>145</v>
      </c>
      <c r="K35" s="27" t="s">
        <v>146</v>
      </c>
      <c r="L35" s="27" t="s">
        <v>147</v>
      </c>
      <c r="M35" s="28" t="s">
        <v>119</v>
      </c>
      <c r="N35" s="28" t="s">
        <v>148</v>
      </c>
      <c r="O35" s="29" t="s">
        <v>149</v>
      </c>
      <c r="P35" s="30" t="s">
        <v>150</v>
      </c>
    </row>
    <row r="36" spans="1:16" ht="12.75" customHeight="1" x14ac:dyDescent="0.2">
      <c r="A36" s="18" t="str">
        <f t="shared" si="0"/>
        <v>JAAVSO 36(2);171 </v>
      </c>
      <c r="B36" s="8" t="str">
        <f t="shared" si="1"/>
        <v>II</v>
      </c>
      <c r="C36" s="18">
        <f t="shared" si="2"/>
        <v>54064.7235</v>
      </c>
      <c r="D36" t="str">
        <f t="shared" si="3"/>
        <v>vis</v>
      </c>
      <c r="E36">
        <f>VLOOKUP(C36,Active!C$21:E$973,3,FALSE)</f>
        <v>8903.9932255075164</v>
      </c>
      <c r="F36" s="8" t="s">
        <v>49</v>
      </c>
      <c r="G36" t="str">
        <f t="shared" si="4"/>
        <v>54064.7235</v>
      </c>
      <c r="H36" s="18">
        <f t="shared" si="5"/>
        <v>2704.5</v>
      </c>
      <c r="I36" s="27" t="s">
        <v>151</v>
      </c>
      <c r="J36" s="28" t="s">
        <v>152</v>
      </c>
      <c r="K36" s="27" t="s">
        <v>153</v>
      </c>
      <c r="L36" s="27" t="s">
        <v>154</v>
      </c>
      <c r="M36" s="28" t="s">
        <v>119</v>
      </c>
      <c r="N36" s="28" t="s">
        <v>148</v>
      </c>
      <c r="O36" s="29" t="s">
        <v>149</v>
      </c>
      <c r="P36" s="30" t="s">
        <v>150</v>
      </c>
    </row>
    <row r="37" spans="1:16" ht="12.75" customHeight="1" x14ac:dyDescent="0.2">
      <c r="A37" s="18" t="str">
        <f t="shared" si="0"/>
        <v>IBVS 5917 </v>
      </c>
      <c r="B37" s="8" t="str">
        <f t="shared" si="1"/>
        <v>I</v>
      </c>
      <c r="C37" s="18">
        <f t="shared" si="2"/>
        <v>54373.326000000001</v>
      </c>
      <c r="D37" t="str">
        <f t="shared" si="3"/>
        <v>vis</v>
      </c>
      <c r="E37">
        <f>VLOOKUP(C37,Active!C$21:E$973,3,FALSE)</f>
        <v>9970.9883539978928</v>
      </c>
      <c r="F37" s="8" t="s">
        <v>49</v>
      </c>
      <c r="G37" t="str">
        <f t="shared" si="4"/>
        <v>54373.326</v>
      </c>
      <c r="H37" s="18">
        <f t="shared" si="5"/>
        <v>3238</v>
      </c>
      <c r="I37" s="27" t="s">
        <v>155</v>
      </c>
      <c r="J37" s="28" t="s">
        <v>156</v>
      </c>
      <c r="K37" s="27" t="s">
        <v>157</v>
      </c>
      <c r="L37" s="27" t="s">
        <v>158</v>
      </c>
      <c r="M37" s="28" t="s">
        <v>119</v>
      </c>
      <c r="N37" s="28" t="s">
        <v>148</v>
      </c>
      <c r="O37" s="29" t="s">
        <v>159</v>
      </c>
      <c r="P37" s="30" t="s">
        <v>160</v>
      </c>
    </row>
    <row r="38" spans="1:16" ht="12.75" customHeight="1" x14ac:dyDescent="0.2">
      <c r="A38" s="18" t="str">
        <f t="shared" si="0"/>
        <v>JAAVSO 36(2);171 </v>
      </c>
      <c r="B38" s="8" t="str">
        <f t="shared" si="1"/>
        <v>II</v>
      </c>
      <c r="C38" s="18">
        <f t="shared" si="2"/>
        <v>54375.350299999998</v>
      </c>
      <c r="D38" t="str">
        <f t="shared" si="3"/>
        <v>vis</v>
      </c>
      <c r="E38">
        <f>VLOOKUP(C38,Active!C$21:E$973,3,FALSE)</f>
        <v>9977.9873842669294</v>
      </c>
      <c r="F38" s="8" t="s">
        <v>49</v>
      </c>
      <c r="G38" t="str">
        <f t="shared" si="4"/>
        <v>54375.3503</v>
      </c>
      <c r="H38" s="18">
        <f t="shared" si="5"/>
        <v>3241.5</v>
      </c>
      <c r="I38" s="27" t="s">
        <v>161</v>
      </c>
      <c r="J38" s="28" t="s">
        <v>162</v>
      </c>
      <c r="K38" s="27" t="s">
        <v>163</v>
      </c>
      <c r="L38" s="27" t="s">
        <v>164</v>
      </c>
      <c r="M38" s="28" t="s">
        <v>119</v>
      </c>
      <c r="N38" s="28" t="s">
        <v>148</v>
      </c>
      <c r="O38" s="29" t="s">
        <v>165</v>
      </c>
      <c r="P38" s="30" t="s">
        <v>150</v>
      </c>
    </row>
    <row r="39" spans="1:16" ht="12.75" customHeight="1" x14ac:dyDescent="0.2">
      <c r="A39" s="18" t="str">
        <f t="shared" si="0"/>
        <v>IBVS 5917 </v>
      </c>
      <c r="B39" s="8" t="str">
        <f t="shared" si="1"/>
        <v>II</v>
      </c>
      <c r="C39" s="18">
        <f t="shared" si="2"/>
        <v>54375.353000000003</v>
      </c>
      <c r="D39" t="str">
        <f t="shared" si="3"/>
        <v>vis</v>
      </c>
      <c r="E39">
        <f>VLOOKUP(C39,Active!C$21:E$973,3,FALSE)</f>
        <v>9977.9967195343106</v>
      </c>
      <c r="F39" s="8" t="s">
        <v>49</v>
      </c>
      <c r="G39" t="str">
        <f t="shared" si="4"/>
        <v>54375.353</v>
      </c>
      <c r="H39" s="18">
        <f t="shared" si="5"/>
        <v>3241.5</v>
      </c>
      <c r="I39" s="27" t="s">
        <v>166</v>
      </c>
      <c r="J39" s="28" t="s">
        <v>167</v>
      </c>
      <c r="K39" s="27" t="s">
        <v>163</v>
      </c>
      <c r="L39" s="27" t="s">
        <v>168</v>
      </c>
      <c r="M39" s="28" t="s">
        <v>119</v>
      </c>
      <c r="N39" s="28" t="s">
        <v>148</v>
      </c>
      <c r="O39" s="29" t="s">
        <v>159</v>
      </c>
      <c r="P39" s="30" t="s">
        <v>160</v>
      </c>
    </row>
    <row r="40" spans="1:16" ht="12.75" customHeight="1" x14ac:dyDescent="0.2">
      <c r="A40" s="18" t="str">
        <f t="shared" si="0"/>
        <v>IBVS 5887 </v>
      </c>
      <c r="B40" s="8" t="str">
        <f t="shared" si="1"/>
        <v>I</v>
      </c>
      <c r="C40" s="18">
        <f t="shared" si="2"/>
        <v>54702.464899999999</v>
      </c>
      <c r="D40" t="str">
        <f t="shared" si="3"/>
        <v>vis</v>
      </c>
      <c r="E40">
        <f>VLOOKUP(C40,Active!C$21:E$973,3,FALSE)</f>
        <v>11108.98821756568</v>
      </c>
      <c r="F40" s="8" t="s">
        <v>49</v>
      </c>
      <c r="G40" t="str">
        <f t="shared" si="4"/>
        <v>54702.4649</v>
      </c>
      <c r="H40" s="18">
        <f t="shared" si="5"/>
        <v>3807</v>
      </c>
      <c r="I40" s="27" t="s">
        <v>169</v>
      </c>
      <c r="J40" s="28" t="s">
        <v>170</v>
      </c>
      <c r="K40" s="27" t="s">
        <v>171</v>
      </c>
      <c r="L40" s="27" t="s">
        <v>140</v>
      </c>
      <c r="M40" s="28" t="s">
        <v>119</v>
      </c>
      <c r="N40" s="28" t="s">
        <v>172</v>
      </c>
      <c r="O40" s="29" t="s">
        <v>173</v>
      </c>
      <c r="P40" s="30" t="s">
        <v>174</v>
      </c>
    </row>
    <row r="41" spans="1:16" ht="12.75" customHeight="1" x14ac:dyDescent="0.2">
      <c r="A41" s="18" t="str">
        <f t="shared" si="0"/>
        <v>IBVS 5887 </v>
      </c>
      <c r="B41" s="8" t="str">
        <f t="shared" si="1"/>
        <v>II</v>
      </c>
      <c r="C41" s="18">
        <f t="shared" si="2"/>
        <v>54714.324000000001</v>
      </c>
      <c r="D41" t="str">
        <f t="shared" si="3"/>
        <v>vis</v>
      </c>
      <c r="E41">
        <f>VLOOKUP(C41,Active!C$21:E$973,3,FALSE)</f>
        <v>11149.991132086081</v>
      </c>
      <c r="F41" s="8" t="s">
        <v>49</v>
      </c>
      <c r="G41" t="str">
        <f t="shared" si="4"/>
        <v>54714.3240</v>
      </c>
      <c r="H41" s="18">
        <f t="shared" si="5"/>
        <v>3827.5</v>
      </c>
      <c r="I41" s="27" t="s">
        <v>175</v>
      </c>
      <c r="J41" s="28" t="s">
        <v>176</v>
      </c>
      <c r="K41" s="27" t="s">
        <v>177</v>
      </c>
      <c r="L41" s="27" t="s">
        <v>106</v>
      </c>
      <c r="M41" s="28" t="s">
        <v>119</v>
      </c>
      <c r="N41" s="28" t="s">
        <v>172</v>
      </c>
      <c r="O41" s="29" t="s">
        <v>178</v>
      </c>
      <c r="P41" s="30" t="s">
        <v>174</v>
      </c>
    </row>
    <row r="42" spans="1:16" ht="12.75" customHeight="1" x14ac:dyDescent="0.2">
      <c r="A42" s="18" t="str">
        <f t="shared" si="0"/>
        <v>IBVS 5887 </v>
      </c>
      <c r="B42" s="8" t="str">
        <f t="shared" si="1"/>
        <v>I</v>
      </c>
      <c r="C42" s="18">
        <f t="shared" si="2"/>
        <v>54723.289199999999</v>
      </c>
      <c r="D42" t="str">
        <f t="shared" si="3"/>
        <v>vis</v>
      </c>
      <c r="E42">
        <f>VLOOKUP(C42,Active!C$21:E$973,3,FALSE)</f>
        <v>11180.988368744696</v>
      </c>
      <c r="F42" s="8" t="s">
        <v>49</v>
      </c>
      <c r="G42" t="str">
        <f t="shared" si="4"/>
        <v>54723.2892</v>
      </c>
      <c r="H42" s="18">
        <f t="shared" si="5"/>
        <v>3843</v>
      </c>
      <c r="I42" s="27" t="s">
        <v>179</v>
      </c>
      <c r="J42" s="28" t="s">
        <v>180</v>
      </c>
      <c r="K42" s="27" t="s">
        <v>181</v>
      </c>
      <c r="L42" s="27" t="s">
        <v>140</v>
      </c>
      <c r="M42" s="28" t="s">
        <v>119</v>
      </c>
      <c r="N42" s="28" t="s">
        <v>172</v>
      </c>
      <c r="O42" s="29" t="s">
        <v>182</v>
      </c>
      <c r="P42" s="30" t="s">
        <v>174</v>
      </c>
    </row>
    <row r="43" spans="1:16" ht="12.75" customHeight="1" x14ac:dyDescent="0.2">
      <c r="A43" s="18" t="str">
        <f t="shared" si="0"/>
        <v>IBVS 5887 </v>
      </c>
      <c r="B43" s="8" t="str">
        <f t="shared" si="1"/>
        <v>I</v>
      </c>
      <c r="C43" s="18">
        <f t="shared" si="2"/>
        <v>54728.494599999998</v>
      </c>
      <c r="D43" t="str">
        <f t="shared" si="3"/>
        <v>vis</v>
      </c>
      <c r="E43">
        <f>VLOOKUP(C43,Active!C$21:E$973,3,FALSE)</f>
        <v>11198.986072722606</v>
      </c>
      <c r="F43" s="8" t="s">
        <v>49</v>
      </c>
      <c r="G43" t="str">
        <f t="shared" si="4"/>
        <v>54728.4946</v>
      </c>
      <c r="H43" s="18">
        <f t="shared" si="5"/>
        <v>3852</v>
      </c>
      <c r="I43" s="27" t="s">
        <v>183</v>
      </c>
      <c r="J43" s="28" t="s">
        <v>184</v>
      </c>
      <c r="K43" s="27" t="s">
        <v>185</v>
      </c>
      <c r="L43" s="27" t="s">
        <v>186</v>
      </c>
      <c r="M43" s="28" t="s">
        <v>119</v>
      </c>
      <c r="N43" s="28" t="s">
        <v>172</v>
      </c>
      <c r="O43" s="29" t="s">
        <v>187</v>
      </c>
      <c r="P43" s="30" t="s">
        <v>174</v>
      </c>
    </row>
    <row r="44" spans="1:16" ht="12.75" customHeight="1" x14ac:dyDescent="0.2">
      <c r="A44" s="18" t="str">
        <f t="shared" si="0"/>
        <v>IBVS 5887 </v>
      </c>
      <c r="B44" s="8" t="str">
        <f t="shared" si="1"/>
        <v>II</v>
      </c>
      <c r="C44" s="18">
        <f t="shared" si="2"/>
        <v>54748.451800000003</v>
      </c>
      <c r="D44" t="str">
        <f t="shared" si="3"/>
        <v>vis</v>
      </c>
      <c r="E44">
        <f>VLOOKUP(C44,Active!C$21:E$973,3,FALSE)</f>
        <v>11267.988220074985</v>
      </c>
      <c r="F44" s="8" t="s">
        <v>49</v>
      </c>
      <c r="G44" t="str">
        <f t="shared" si="4"/>
        <v>54748.4518</v>
      </c>
      <c r="H44" s="18">
        <f t="shared" si="5"/>
        <v>3886.5</v>
      </c>
      <c r="I44" s="27" t="s">
        <v>188</v>
      </c>
      <c r="J44" s="28" t="s">
        <v>189</v>
      </c>
      <c r="K44" s="27" t="s">
        <v>190</v>
      </c>
      <c r="L44" s="27" t="s">
        <v>140</v>
      </c>
      <c r="M44" s="28" t="s">
        <v>119</v>
      </c>
      <c r="N44" s="28" t="s">
        <v>172</v>
      </c>
      <c r="O44" s="29" t="s">
        <v>191</v>
      </c>
      <c r="P44" s="30" t="s">
        <v>174</v>
      </c>
    </row>
    <row r="45" spans="1:16" ht="12.75" customHeight="1" x14ac:dyDescent="0.2">
      <c r="A45" s="18" t="str">
        <f t="shared" si="0"/>
        <v>IBVS 5871 </v>
      </c>
      <c r="B45" s="8" t="str">
        <f t="shared" si="1"/>
        <v>I</v>
      </c>
      <c r="C45" s="18">
        <f t="shared" si="2"/>
        <v>54777.661999999997</v>
      </c>
      <c r="D45" t="str">
        <f t="shared" si="3"/>
        <v>vis</v>
      </c>
      <c r="E45">
        <f>VLOOKUP(C45,Active!C$21:E$973,3,FALSE)</f>
        <v>11368.9826744369</v>
      </c>
      <c r="F45" s="8" t="s">
        <v>49</v>
      </c>
      <c r="G45" t="str">
        <f t="shared" si="4"/>
        <v>54777.662</v>
      </c>
      <c r="H45" s="18">
        <f t="shared" si="5"/>
        <v>3937</v>
      </c>
      <c r="I45" s="27" t="s">
        <v>192</v>
      </c>
      <c r="J45" s="28" t="s">
        <v>193</v>
      </c>
      <c r="K45" s="27" t="s">
        <v>194</v>
      </c>
      <c r="L45" s="27" t="s">
        <v>195</v>
      </c>
      <c r="M45" s="28" t="s">
        <v>119</v>
      </c>
      <c r="N45" s="28" t="s">
        <v>49</v>
      </c>
      <c r="O45" s="29" t="s">
        <v>196</v>
      </c>
      <c r="P45" s="30" t="s">
        <v>197</v>
      </c>
    </row>
    <row r="46" spans="1:16" ht="12.75" customHeight="1" x14ac:dyDescent="0.2">
      <c r="A46" s="18" t="str">
        <f t="shared" si="0"/>
        <v>BAVM 215 </v>
      </c>
      <c r="B46" s="8" t="str">
        <f t="shared" si="1"/>
        <v>II</v>
      </c>
      <c r="C46" s="18">
        <f t="shared" si="2"/>
        <v>55459.364200000004</v>
      </c>
      <c r="D46" t="str">
        <f t="shared" si="3"/>
        <v>vis</v>
      </c>
      <c r="E46">
        <f>VLOOKUP(C46,Active!C$21:E$973,3,FALSE)</f>
        <v>13725.972415223763</v>
      </c>
      <c r="F46" s="8" t="s">
        <v>49</v>
      </c>
      <c r="G46" t="str">
        <f t="shared" si="4"/>
        <v>55459.3642</v>
      </c>
      <c r="H46" s="18">
        <f t="shared" si="5"/>
        <v>5115.5</v>
      </c>
      <c r="I46" s="27" t="s">
        <v>198</v>
      </c>
      <c r="J46" s="28" t="s">
        <v>199</v>
      </c>
      <c r="K46" s="27" t="s">
        <v>200</v>
      </c>
      <c r="L46" s="27" t="s">
        <v>60</v>
      </c>
      <c r="M46" s="28" t="s">
        <v>119</v>
      </c>
      <c r="N46" s="28" t="s">
        <v>141</v>
      </c>
      <c r="O46" s="29" t="s">
        <v>201</v>
      </c>
      <c r="P46" s="30" t="s">
        <v>202</v>
      </c>
    </row>
    <row r="47" spans="1:16" ht="12.75" customHeight="1" x14ac:dyDescent="0.2">
      <c r="A47" s="18" t="str">
        <f t="shared" si="0"/>
        <v>IBVS 6044 </v>
      </c>
      <c r="B47" s="8" t="str">
        <f t="shared" si="1"/>
        <v>II</v>
      </c>
      <c r="C47" s="18">
        <f t="shared" si="2"/>
        <v>55791.398999999998</v>
      </c>
      <c r="D47" t="str">
        <f t="shared" si="3"/>
        <v>vis</v>
      </c>
      <c r="E47">
        <f>VLOOKUP(C47,Active!C$21:E$973,3,FALSE)</f>
        <v>14873.984871666173</v>
      </c>
      <c r="F47" s="8" t="s">
        <v>49</v>
      </c>
      <c r="G47" t="str">
        <f t="shared" si="4"/>
        <v>55791.3990</v>
      </c>
      <c r="H47" s="18">
        <f t="shared" si="5"/>
        <v>5689.5</v>
      </c>
      <c r="I47" s="27" t="s">
        <v>203</v>
      </c>
      <c r="J47" s="28" t="s">
        <v>204</v>
      </c>
      <c r="K47" s="27" t="s">
        <v>205</v>
      </c>
      <c r="L47" s="27" t="s">
        <v>106</v>
      </c>
      <c r="M47" s="28" t="s">
        <v>119</v>
      </c>
      <c r="N47" s="28" t="s">
        <v>49</v>
      </c>
      <c r="O47" s="29" t="s">
        <v>142</v>
      </c>
      <c r="P47" s="30" t="s">
        <v>206</v>
      </c>
    </row>
    <row r="48" spans="1:16" ht="12.75" customHeight="1" x14ac:dyDescent="0.2">
      <c r="A48" s="18" t="str">
        <f t="shared" si="0"/>
        <v>IBVS 6044 </v>
      </c>
      <c r="B48" s="8" t="str">
        <f t="shared" si="1"/>
        <v>I</v>
      </c>
      <c r="C48" s="18">
        <f t="shared" si="2"/>
        <v>56165.367200000001</v>
      </c>
      <c r="D48" t="str">
        <f t="shared" si="3"/>
        <v>vis</v>
      </c>
      <c r="E48">
        <f>VLOOKUP(C48,Active!C$21:E$973,3,FALSE)</f>
        <v>16166.982328298302</v>
      </c>
      <c r="F48" s="8" t="s">
        <v>49</v>
      </c>
      <c r="G48" t="str">
        <f t="shared" si="4"/>
        <v>56165.3672</v>
      </c>
      <c r="H48" s="18">
        <f t="shared" si="5"/>
        <v>6336</v>
      </c>
      <c r="I48" s="27" t="s">
        <v>207</v>
      </c>
      <c r="J48" s="28" t="s">
        <v>208</v>
      </c>
      <c r="K48" s="27" t="s">
        <v>209</v>
      </c>
      <c r="L48" s="27" t="s">
        <v>210</v>
      </c>
      <c r="M48" s="28" t="s">
        <v>119</v>
      </c>
      <c r="N48" s="28" t="s">
        <v>49</v>
      </c>
      <c r="O48" s="29" t="s">
        <v>142</v>
      </c>
      <c r="P48" s="30" t="s">
        <v>206</v>
      </c>
    </row>
    <row r="49" spans="1:16" ht="12.75" customHeight="1" x14ac:dyDescent="0.2">
      <c r="A49" s="18" t="str">
        <f t="shared" si="0"/>
        <v>BAVM 239 </v>
      </c>
      <c r="B49" s="8" t="str">
        <f t="shared" si="1"/>
        <v>II</v>
      </c>
      <c r="C49" s="18">
        <f t="shared" si="2"/>
        <v>56905.495499999997</v>
      </c>
      <c r="D49" t="str">
        <f t="shared" si="3"/>
        <v>vis</v>
      </c>
      <c r="E49">
        <f>VLOOKUP(C49,Active!C$21:E$973,3,FALSE)</f>
        <v>18725.980685595659</v>
      </c>
      <c r="F49" s="8" t="s">
        <v>49</v>
      </c>
      <c r="G49" t="str">
        <f t="shared" si="4"/>
        <v>56905.4955</v>
      </c>
      <c r="H49" s="18">
        <f t="shared" si="5"/>
        <v>7615.5</v>
      </c>
      <c r="I49" s="27" t="s">
        <v>211</v>
      </c>
      <c r="J49" s="28" t="s">
        <v>212</v>
      </c>
      <c r="K49" s="27" t="s">
        <v>213</v>
      </c>
      <c r="L49" s="27" t="s">
        <v>214</v>
      </c>
      <c r="M49" s="28" t="s">
        <v>119</v>
      </c>
      <c r="N49" s="28" t="s">
        <v>120</v>
      </c>
      <c r="O49" s="29" t="s">
        <v>135</v>
      </c>
      <c r="P49" s="30" t="s">
        <v>215</v>
      </c>
    </row>
    <row r="50" spans="1:16" ht="12.75" customHeight="1" x14ac:dyDescent="0.2">
      <c r="A50" s="18" t="str">
        <f t="shared" si="0"/>
        <v>VSB 46 </v>
      </c>
      <c r="B50" s="8" t="str">
        <f t="shared" si="1"/>
        <v>II</v>
      </c>
      <c r="C50" s="18">
        <f t="shared" si="2"/>
        <v>54427.989600000001</v>
      </c>
      <c r="D50" t="str">
        <f t="shared" si="3"/>
        <v>vis</v>
      </c>
      <c r="E50">
        <f>VLOOKUP(C50,Active!C$21:E$973,3,FALSE)</f>
        <v>10159.988102560352</v>
      </c>
      <c r="F50" s="8" t="s">
        <v>49</v>
      </c>
      <c r="G50" t="str">
        <f t="shared" si="4"/>
        <v>54427.9896</v>
      </c>
      <c r="H50" s="18">
        <f t="shared" si="5"/>
        <v>3332.5</v>
      </c>
      <c r="I50" s="27" t="s">
        <v>216</v>
      </c>
      <c r="J50" s="28" t="s">
        <v>217</v>
      </c>
      <c r="K50" s="27" t="s">
        <v>218</v>
      </c>
      <c r="L50" s="27" t="s">
        <v>111</v>
      </c>
      <c r="M50" s="28" t="s">
        <v>119</v>
      </c>
      <c r="N50" s="28" t="s">
        <v>219</v>
      </c>
      <c r="O50" s="29" t="s">
        <v>220</v>
      </c>
      <c r="P50" s="30" t="s">
        <v>221</v>
      </c>
    </row>
    <row r="51" spans="1:16" ht="12.75" customHeight="1" x14ac:dyDescent="0.2">
      <c r="A51" s="18" t="str">
        <f t="shared" si="0"/>
        <v>IBVS 5980 </v>
      </c>
      <c r="B51" s="8" t="str">
        <f t="shared" si="1"/>
        <v>I</v>
      </c>
      <c r="C51" s="18">
        <f t="shared" si="2"/>
        <v>55213.237800000003</v>
      </c>
      <c r="D51" t="str">
        <f t="shared" si="3"/>
        <v>vis</v>
      </c>
      <c r="E51">
        <f>VLOOKUP(C51,Active!C$21:E$973,3,FALSE)</f>
        <v>12874.988804291013</v>
      </c>
      <c r="F51" s="8" t="s">
        <v>49</v>
      </c>
      <c r="G51" t="str">
        <f t="shared" si="4"/>
        <v>55213.2378</v>
      </c>
      <c r="H51" s="18">
        <f t="shared" si="5"/>
        <v>4690</v>
      </c>
      <c r="I51" s="27" t="s">
        <v>222</v>
      </c>
      <c r="J51" s="28" t="s">
        <v>223</v>
      </c>
      <c r="K51" s="27" t="s">
        <v>224</v>
      </c>
      <c r="L51" s="27" t="s">
        <v>225</v>
      </c>
      <c r="M51" s="28" t="s">
        <v>119</v>
      </c>
      <c r="N51" s="28" t="s">
        <v>55</v>
      </c>
      <c r="O51" s="29" t="s">
        <v>142</v>
      </c>
      <c r="P51" s="30" t="s">
        <v>226</v>
      </c>
    </row>
    <row r="52" spans="1:16" ht="12.75" customHeight="1" x14ac:dyDescent="0.2">
      <c r="A52" s="18" t="str">
        <f t="shared" si="0"/>
        <v>IBVS 5980 </v>
      </c>
      <c r="B52" s="8" t="str">
        <f t="shared" si="1"/>
        <v>II</v>
      </c>
      <c r="C52" s="18">
        <f t="shared" si="2"/>
        <v>55419.455999999998</v>
      </c>
      <c r="D52" t="str">
        <f t="shared" si="3"/>
        <v>vis</v>
      </c>
      <c r="E52">
        <f>VLOOKUP(C52,Active!C$21:E$973,3,FALSE)</f>
        <v>13587.989557058891</v>
      </c>
      <c r="F52" s="8" t="s">
        <v>49</v>
      </c>
      <c r="G52" t="str">
        <f t="shared" si="4"/>
        <v>55419.4560</v>
      </c>
      <c r="H52" s="18">
        <f t="shared" si="5"/>
        <v>5046.5</v>
      </c>
      <c r="I52" s="27" t="s">
        <v>227</v>
      </c>
      <c r="J52" s="28" t="s">
        <v>228</v>
      </c>
      <c r="K52" s="27" t="s">
        <v>229</v>
      </c>
      <c r="L52" s="27" t="s">
        <v>214</v>
      </c>
      <c r="M52" s="28" t="s">
        <v>119</v>
      </c>
      <c r="N52" s="28" t="s">
        <v>55</v>
      </c>
      <c r="O52" s="29" t="s">
        <v>142</v>
      </c>
      <c r="P52" s="30" t="s">
        <v>226</v>
      </c>
    </row>
    <row r="53" spans="1:16" ht="12.75" customHeight="1" x14ac:dyDescent="0.2">
      <c r="A53" s="18" t="str">
        <f t="shared" si="0"/>
        <v>BAVM 225 </v>
      </c>
      <c r="B53" s="8" t="str">
        <f t="shared" si="1"/>
        <v>II</v>
      </c>
      <c r="C53" s="18">
        <f t="shared" si="2"/>
        <v>55817.429499999998</v>
      </c>
      <c r="D53" t="str">
        <f t="shared" si="3"/>
        <v>vis</v>
      </c>
      <c r="E53">
        <f>VLOOKUP(C53,Active!C$21:E$973,3,FALSE)</f>
        <v>14963.985492828249</v>
      </c>
      <c r="F53" s="8" t="s">
        <v>49</v>
      </c>
      <c r="G53" t="str">
        <f t="shared" si="4"/>
        <v>55817.4295</v>
      </c>
      <c r="H53" s="18">
        <f t="shared" si="5"/>
        <v>5734.5</v>
      </c>
      <c r="I53" s="27" t="s">
        <v>230</v>
      </c>
      <c r="J53" s="28" t="s">
        <v>231</v>
      </c>
      <c r="K53" s="27" t="s">
        <v>232</v>
      </c>
      <c r="L53" s="27" t="s">
        <v>225</v>
      </c>
      <c r="M53" s="28" t="s">
        <v>119</v>
      </c>
      <c r="N53" s="28" t="s">
        <v>49</v>
      </c>
      <c r="O53" s="29" t="s">
        <v>135</v>
      </c>
      <c r="P53" s="30" t="s">
        <v>233</v>
      </c>
    </row>
  </sheetData>
  <sheetProtection selectLockedCells="1" selectUnlockedCells="1"/>
  <hyperlinks>
    <hyperlink ref="P11" r:id="rId1" xr:uid="{00000000-0004-0000-0200-000000000000}"/>
    <hyperlink ref="P12" r:id="rId2" xr:uid="{00000000-0004-0000-0200-000001000000}"/>
    <hyperlink ref="P13" r:id="rId3" xr:uid="{00000000-0004-0000-0200-000002000000}"/>
    <hyperlink ref="P14" r:id="rId4" xr:uid="{00000000-0004-0000-0200-000003000000}"/>
    <hyperlink ref="P15" r:id="rId5" xr:uid="{00000000-0004-0000-0200-000004000000}"/>
    <hyperlink ref="P16" r:id="rId6" xr:uid="{00000000-0004-0000-0200-000005000000}"/>
    <hyperlink ref="P17" r:id="rId7" xr:uid="{00000000-0004-0000-0200-000006000000}"/>
    <hyperlink ref="P18" r:id="rId8" xr:uid="{00000000-0004-0000-0200-000007000000}"/>
    <hyperlink ref="P19" r:id="rId9" xr:uid="{00000000-0004-0000-0200-000008000000}"/>
    <hyperlink ref="P20" r:id="rId10" xr:uid="{00000000-0004-0000-0200-000009000000}"/>
    <hyperlink ref="P21" r:id="rId11" xr:uid="{00000000-0004-0000-0200-00000A000000}"/>
    <hyperlink ref="P22" r:id="rId12" xr:uid="{00000000-0004-0000-0200-00000B000000}"/>
    <hyperlink ref="P23" r:id="rId13" xr:uid="{00000000-0004-0000-0200-00000C000000}"/>
    <hyperlink ref="P24" r:id="rId14" xr:uid="{00000000-0004-0000-0200-00000D000000}"/>
    <hyperlink ref="P25" r:id="rId15" xr:uid="{00000000-0004-0000-0200-00000E000000}"/>
    <hyperlink ref="P26" r:id="rId16" xr:uid="{00000000-0004-0000-0200-00000F000000}"/>
    <hyperlink ref="P27" r:id="rId17" xr:uid="{00000000-0004-0000-0200-000010000000}"/>
    <hyperlink ref="P28" r:id="rId18" xr:uid="{00000000-0004-0000-0200-000011000000}"/>
    <hyperlink ref="P29" r:id="rId19" xr:uid="{00000000-0004-0000-0200-000012000000}"/>
    <hyperlink ref="P30" r:id="rId20" xr:uid="{00000000-0004-0000-0200-000013000000}"/>
    <hyperlink ref="P31" r:id="rId21" xr:uid="{00000000-0004-0000-0200-000014000000}"/>
    <hyperlink ref="P32" r:id="rId22" xr:uid="{00000000-0004-0000-0200-000015000000}"/>
    <hyperlink ref="P33" r:id="rId23" xr:uid="{00000000-0004-0000-0200-000016000000}"/>
    <hyperlink ref="P34" r:id="rId24" xr:uid="{00000000-0004-0000-0200-000017000000}"/>
    <hyperlink ref="P35" r:id="rId25" xr:uid="{00000000-0004-0000-0200-000018000000}"/>
    <hyperlink ref="P36" r:id="rId26" xr:uid="{00000000-0004-0000-0200-000019000000}"/>
    <hyperlink ref="P37" r:id="rId27" xr:uid="{00000000-0004-0000-0200-00001A000000}"/>
    <hyperlink ref="P38" r:id="rId28" xr:uid="{00000000-0004-0000-0200-00001B000000}"/>
    <hyperlink ref="P39" r:id="rId29" xr:uid="{00000000-0004-0000-0200-00001C000000}"/>
    <hyperlink ref="P40" r:id="rId30" xr:uid="{00000000-0004-0000-0200-00001D000000}"/>
    <hyperlink ref="P41" r:id="rId31" xr:uid="{00000000-0004-0000-0200-00001E000000}"/>
    <hyperlink ref="P42" r:id="rId32" xr:uid="{00000000-0004-0000-0200-00001F000000}"/>
    <hyperlink ref="P43" r:id="rId33" xr:uid="{00000000-0004-0000-0200-000020000000}"/>
    <hyperlink ref="P44" r:id="rId34" xr:uid="{00000000-0004-0000-0200-000021000000}"/>
    <hyperlink ref="P45" r:id="rId35" xr:uid="{00000000-0004-0000-0200-000022000000}"/>
    <hyperlink ref="P46" r:id="rId36" xr:uid="{00000000-0004-0000-0200-000023000000}"/>
    <hyperlink ref="P47" r:id="rId37" xr:uid="{00000000-0004-0000-0200-000024000000}"/>
    <hyperlink ref="P48" r:id="rId38" xr:uid="{00000000-0004-0000-0200-000025000000}"/>
    <hyperlink ref="P49" r:id="rId39" xr:uid="{00000000-0004-0000-0200-000026000000}"/>
    <hyperlink ref="P50" r:id="rId40" xr:uid="{00000000-0004-0000-0200-000027000000}"/>
    <hyperlink ref="P51" r:id="rId41" xr:uid="{00000000-0004-0000-0200-000028000000}"/>
    <hyperlink ref="P52" r:id="rId42" xr:uid="{00000000-0004-0000-0200-000029000000}"/>
    <hyperlink ref="P53" r:id="rId43" xr:uid="{00000000-0004-0000-0200-00002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2023-01-21T05:29:29Z</dcterms:created>
  <dcterms:modified xsi:type="dcterms:W3CDTF">2024-03-02T05:43:03Z</dcterms:modified>
</cp:coreProperties>
</file>