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EF3138-B8D7-4473-9A5B-FF56222E41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2" i="1"/>
  <c r="F22" i="1"/>
  <c r="G22" i="1"/>
  <c r="K22" i="1"/>
  <c r="E21" i="1"/>
  <c r="F21" i="1"/>
  <c r="G21" i="1"/>
  <c r="I21" i="1"/>
  <c r="Q22" i="1"/>
  <c r="C9" i="1"/>
  <c r="D9" i="1"/>
  <c r="F16" i="1"/>
  <c r="F17" i="1" s="1"/>
  <c r="C17" i="1"/>
  <c r="Q21" i="1"/>
  <c r="C12" i="1"/>
  <c r="C11" i="1"/>
  <c r="C15" i="1" l="1"/>
  <c r="F18" i="1" s="1"/>
  <c r="O23" i="1"/>
  <c r="O21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<sst xmlns="http://schemas.openxmlformats.org/spreadsheetml/2006/main" count="58" uniqueCount="52">
  <si>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</si>
  <si>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</si>
  <si>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</si>
  <si>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</si>
  <si>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</si>
  <si>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</si>
  <si>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</si>
  <si>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</si>
  <si>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</si>
  <si>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</si>
  <si>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</si>
  <si>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</si>
  <si>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</si>
  <si>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</si>
  <si>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</si>
  <si>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</si>
  <si>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</si>
  <si>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</si>
  <si>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</si>
  <si>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</si>
  <si>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</si>
  <si>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</si>
  <si>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</si>
  <si>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</si>
  <si>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</si>
  <si>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</si>
  <si>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</si>
  <si>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</si>
  <si>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</si>
  <si>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</si>
  <si>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</si>
  <si>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</si>
  <si>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</si>
  <si>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</si>
  <si>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</si>
  <si>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</si>
  <si>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</si>
  <si>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</si>
  <si>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</si>
  <si>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</si>
  <si>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</si>
  <si>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</si>
  <si>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V0467 Peg  </t>
  </si>
  <si>
    <t>2017K</t>
  </si>
  <si>
    <t>G1683-1839</t>
  </si>
  <si>
    <t xml:space="preserve">EW        </t>
  </si>
  <si>
    <t>pr_6</t>
  </si>
  <si>
    <t xml:space="preserve">F2               </t>
  </si>
  <si>
    <t>GCVS</t>
  </si>
  <si>
    <t>V0467 Peg   / GSC 1683-1839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</si>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</sst>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3-4132-A5DD-92656B545D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3-4132-A5DD-92656B545D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63-4132-A5DD-92656B545D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-1.793300000281306E-2</c:v>
                </c:pt>
                <c:pt idx="2">
                  <c:v>-2.6208000002952758E-2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63-4132-A5DD-92656B545D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63-4132-A5DD-92656B545D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63-4132-A5DD-92656B545D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63-4132-A5DD-92656B545D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2.5030492123651743E-4</c:v>
                </c:pt>
                <c:pt idx="1">
                  <c:v>-1.8914236076939445E-2</c:v>
                </c:pt>
                <c:pt idx="2">
                  <c:v>-2.547706885006289E-2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63-4132-A5DD-92656B545D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7169</c:v>
                </c:pt>
                <c:pt idx="2">
                  <c:v>9624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63-4132-A5DD-92656B54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03512"/>
        <c:axId val="1"/>
      </c:scatterChart>
      <c:valAx>
        <c:axId val="74720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0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04BC7E-89B2-CE9E-B571-CD5B3AF1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5" t="s">
        <v>42</v>
      </c>
      <c r="G1" s="4" t="s">
        <v>43</v>
      </c>
      <c r="H1" s="6"/>
      <c r="I1" s="7" t="s">
        <v>44</v>
      </c>
      <c r="J1" s="8" t="s">
        <v>42</v>
      </c>
      <c r="K1" s="9">
        <v>21.524699999999999</v>
      </c>
      <c r="L1" s="9">
        <v>18.173349999999999</v>
      </c>
      <c r="M1" s="10">
        <v>55012.868900000001</v>
      </c>
      <c r="N1" s="10">
        <v>0.31281700000000001</v>
      </c>
      <c r="O1" s="11" t="s">
        <v>45</v>
      </c>
      <c r="P1" s="11">
        <v>9.43</v>
      </c>
      <c r="Q1" s="11">
        <v>9.52</v>
      </c>
      <c r="R1" s="12" t="s">
        <v>46</v>
      </c>
      <c r="S1" s="13" t="s">
        <v>47</v>
      </c>
    </row>
    <row r="2" spans="1:19" s="14" customFormat="1" ht="12.95" customHeight="1" x14ac:dyDescent="0.2">
      <c r="A2" s="14" t="s">
        <v>24</v>
      </c>
      <c r="B2" s="14" t="s">
        <v>45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1</v>
      </c>
      <c r="C4" s="18">
        <v>55012.868900000001</v>
      </c>
      <c r="D4" s="19">
        <v>0.31281700000000001</v>
      </c>
    </row>
    <row r="5" spans="1:19" s="14" customFormat="1" ht="12.95" customHeight="1" thickTop="1" x14ac:dyDescent="0.2">
      <c r="A5" s="20" t="s">
        <v>29</v>
      </c>
      <c r="C5" s="21">
        <v>-9.5</v>
      </c>
      <c r="D5" s="14" t="s">
        <v>30</v>
      </c>
    </row>
    <row r="6" spans="1:19" s="14" customFormat="1" ht="12.95" customHeight="1" x14ac:dyDescent="0.2">
      <c r="A6" s="17" t="s">
        <v>2</v>
      </c>
    </row>
    <row r="7" spans="1:19" s="14" customFormat="1" ht="12.95" customHeight="1" x14ac:dyDescent="0.2">
      <c r="A7" s="14" t="s">
        <v>3</v>
      </c>
      <c r="C7" s="47">
        <v>55012.868900000001</v>
      </c>
      <c r="D7" s="23" t="s">
        <v>48</v>
      </c>
    </row>
    <row r="8" spans="1:19" s="14" customFormat="1" ht="12.95" customHeight="1" x14ac:dyDescent="0.2">
      <c r="A8" s="14" t="s">
        <v>4</v>
      </c>
      <c r="C8" s="47">
        <v>0.31281700000000001</v>
      </c>
      <c r="D8" s="23" t="s">
        <v>48</v>
      </c>
    </row>
    <row r="9" spans="1:19" s="14" customFormat="1" ht="12.95" customHeight="1" x14ac:dyDescent="0.2">
      <c r="A9" s="24" t="s">
        <v>33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20</v>
      </c>
      <c r="D10" s="28" t="s">
        <v>21</v>
      </c>
    </row>
    <row r="11" spans="1:19" s="14" customFormat="1" ht="12.95" customHeight="1" x14ac:dyDescent="0.2">
      <c r="A11" s="14" t="s">
        <v>16</v>
      </c>
      <c r="C11" s="27">
        <f ca="1">INTERCEPT(INDIRECT($D$9):G992,INDIRECT($C$9):F992)</f>
        <v>2.5030492123651743E-4</v>
      </c>
      <c r="D11" s="16"/>
    </row>
    <row r="12" spans="1:19" s="14" customFormat="1" ht="12.95" customHeight="1" x14ac:dyDescent="0.2">
      <c r="A12" s="14" t="s">
        <v>17</v>
      </c>
      <c r="C12" s="27">
        <f ca="1">SLOPE(INDIRECT($D$9):G992,INDIRECT($C$9):F992)</f>
        <v>-2.6732516387468213E-6</v>
      </c>
      <c r="D12" s="16"/>
    </row>
    <row r="13" spans="1:19" s="14" customFormat="1" ht="12.95" customHeight="1" x14ac:dyDescent="0.2">
      <c r="A13" s="14" t="s">
        <v>19</v>
      </c>
      <c r="C13" s="16" t="s">
        <v>14</v>
      </c>
    </row>
    <row r="14" spans="1:19" s="14" customFormat="1" ht="12.95" customHeight="1" x14ac:dyDescent="0.2"/>
    <row r="15" spans="1:19" s="14" customFormat="1" ht="12.95" customHeight="1" x14ac:dyDescent="0.2">
      <c r="A15" s="29" t="s">
        <v>18</v>
      </c>
      <c r="C15" s="30">
        <f ca="1">(C7+C11)+(C8+C12)*INT(MAX(F21:F3533))</f>
        <v>58023.394230931146</v>
      </c>
      <c r="E15" s="31" t="s">
        <v>35</v>
      </c>
      <c r="F15" s="25">
        <v>1</v>
      </c>
    </row>
    <row r="16" spans="1:19" s="14" customFormat="1" ht="12.95" customHeight="1" x14ac:dyDescent="0.2">
      <c r="A16" s="17" t="s">
        <v>5</v>
      </c>
      <c r="C16" s="32">
        <f ca="1">+C8+C12</f>
        <v>0.31281432674836124</v>
      </c>
      <c r="E16" s="31" t="s">
        <v>31</v>
      </c>
      <c r="F16" s="32">
        <f ca="1">NOW()+15018.5+$C$5/24</f>
        <v>60371.800120138883</v>
      </c>
    </row>
    <row r="17" spans="1:21" s="14" customFormat="1" ht="12.95" customHeight="1" thickBot="1" x14ac:dyDescent="0.25">
      <c r="A17" s="31" t="s">
        <v>28</v>
      </c>
      <c r="C17" s="14">
        <f>COUNT(C21:C2191)</f>
        <v>3</v>
      </c>
      <c r="E17" s="31" t="s">
        <v>36</v>
      </c>
      <c r="F17" s="33">
        <f ca="1">ROUND(2*(F16-$C$7)/$C$8,0)/2+F15</f>
        <v>17132</v>
      </c>
    </row>
    <row r="18" spans="1:21" s="14" customFormat="1" ht="12.95" customHeight="1" thickTop="1" thickBot="1" x14ac:dyDescent="0.25">
      <c r="A18" s="17" t="s">
        <v>6</v>
      </c>
      <c r="C18" s="34">
        <f ca="1">+C15</f>
        <v>58023.394230931146</v>
      </c>
      <c r="D18" s="35">
        <f ca="1">+C16</f>
        <v>0.31281432674836124</v>
      </c>
      <c r="E18" s="31" t="s">
        <v>37</v>
      </c>
      <c r="F18" s="27">
        <f ca="1">ROUND(2*(F16-$C$15)/$C$16,0)/2+F15</f>
        <v>7508.5</v>
      </c>
    </row>
    <row r="19" spans="1:21" s="14" customFormat="1" ht="12.95" customHeight="1" thickTop="1" x14ac:dyDescent="0.2">
      <c r="E19" s="31" t="s">
        <v>32</v>
      </c>
      <c r="F19" s="36">
        <f ca="1">+$C$15+$C$16*F18-15018.5-$C$5/24</f>
        <v>45354.056436654551</v>
      </c>
    </row>
    <row r="20" spans="1:21" s="14" customFormat="1" ht="12.95" customHeight="1" thickBot="1" x14ac:dyDescent="0.25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28" t="s">
        <v>15</v>
      </c>
      <c r="U20" s="39" t="s">
        <v>34</v>
      </c>
    </row>
    <row r="21" spans="1:21" s="14" customFormat="1" ht="12.95" customHeight="1" x14ac:dyDescent="0.2">
      <c r="A21" s="14" t="s">
        <v>48</v>
      </c>
      <c r="C21" s="22">
        <v>55012.868900000001</v>
      </c>
      <c r="D21" s="22" t="s">
        <v>14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2.5030492123651743E-4</v>
      </c>
      <c r="Q21" s="40">
        <f>+C21-15018.5</f>
        <v>39994.368900000001</v>
      </c>
    </row>
    <row r="22" spans="1:21" s="14" customFormat="1" ht="12.95" customHeight="1" x14ac:dyDescent="0.2">
      <c r="A22" s="41" t="s">
        <v>51</v>
      </c>
      <c r="B22" s="42" t="s">
        <v>50</v>
      </c>
      <c r="C22" s="43">
        <v>57255.436040000001</v>
      </c>
      <c r="D22" s="43">
        <v>8.0000000000000004E-4</v>
      </c>
      <c r="E22" s="14">
        <f>+(C22-C$7)/C$8</f>
        <v>7168.9426725529593</v>
      </c>
      <c r="F22" s="14">
        <f>ROUND(2*E22,0)/2</f>
        <v>7169</v>
      </c>
      <c r="G22" s="14">
        <f>+C22-(C$7+F22*C$8)</f>
        <v>-1.793300000281306E-2</v>
      </c>
      <c r="K22" s="14">
        <f>+G22</f>
        <v>-1.793300000281306E-2</v>
      </c>
      <c r="O22" s="14">
        <f ca="1">+C$11+C$12*$F22</f>
        <v>-1.8914236076939445E-2</v>
      </c>
      <c r="Q22" s="40">
        <f>+C22-15018.5</f>
        <v>42236.936040000001</v>
      </c>
    </row>
    <row r="23" spans="1:21" s="14" customFormat="1" ht="12.95" customHeight="1" x14ac:dyDescent="0.2">
      <c r="A23" s="44" t="s">
        <v>0</v>
      </c>
      <c r="B23" s="45" t="s">
        <v>50</v>
      </c>
      <c r="C23" s="46">
        <v>58023.393499999998</v>
      </c>
      <c r="D23" s="46">
        <v>2E-3</v>
      </c>
      <c r="E23" s="14">
        <f>+(C23-C$7)/C$8</f>
        <v>9623.9162193870434</v>
      </c>
      <c r="F23" s="14">
        <f>ROUND(2*E23,0)/2</f>
        <v>9624</v>
      </c>
      <c r="G23" s="14">
        <f>+C23-(C$7+F23*C$8)</f>
        <v>-2.6208000002952758E-2</v>
      </c>
      <c r="K23" s="14">
        <f>+G23</f>
        <v>-2.6208000002952758E-2</v>
      </c>
      <c r="O23" s="14">
        <f ca="1">+C$11+C$12*$F23</f>
        <v>-2.547706885006289E-2</v>
      </c>
      <c r="Q23" s="40">
        <f>+C23-15018.5</f>
        <v>43004.893499999998</v>
      </c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3370" r:id="rId1" display="http://vsolj.cetus-net.org/bulletin.html"/>
    <hyperlink ref="H63363" r:id="rId2" display="https://www.aavso.org/ejaavso"/>
    <hyperlink ref="AP221" r:id="rId3" display="http://cdsbib.u-strasbg.fr/cgi-bin/cdsbib?1990RMxAA..21..381G"/>
    <hyperlink ref="AP218" r:id="rId4" display="http://cdsbib.u-strasbg.fr/cgi-bin/cdsbib?1990RMxAA..21..381G"/>
    <hyperlink ref="AP220" r:id="rId5" display="http://cdsbib.u-strasbg.fr/cgi-bin/cdsbib?1990RMxAA..21..381G"/>
    <hyperlink ref="AP196" r:id="rId6" display="http://cdsbib.u-strasbg.fr/cgi-bin/cdsbib?1990RMxAA..21..381G"/>
    <hyperlink ref="I63370" r:id="rId7" display="http://vsolj.cetus-net.org/bulletin.html"/>
    <hyperlink ref="AQ357" r:id="rId8" display="http://cdsbib.u-strasbg.fr/cgi-bin/cdsbib?1990RMxAA..21..381G"/>
    <hyperlink ref="AQ2001" r:id="rId9" display="http://cdsbib.u-strasbg.fr/cgi-bin/cdsbib?1990RMxAA..21..381G"/>
    <hyperlink ref="AQ358" r:id="rId10" display="http://cdsbib.u-strasbg.fr/cgi-bin/cdsbib?1990RMxAA..21..381G"/>
    <hyperlink ref="H63367" r:id="rId11" display="https://www.aavso.org/ejaavso"/>
    <hyperlink ref="H1208" r:id="rId12" display="http://vsolj.cetus-net.org/bulletin.html"/>
    <hyperlink ref="AP4446" r:id="rId13" display="http://cdsbib.u-strasbg.fr/cgi-bin/cdsbib?1990RMxAA..21..381G"/>
    <hyperlink ref="AP4449" r:id="rId14" display="http://cdsbib.u-strasbg.fr/cgi-bin/cdsbib?1990RMxAA..21..381G"/>
    <hyperlink ref="AP4447" r:id="rId15" display="http://cdsbib.u-strasbg.fr/cgi-bin/cdsbib?1990RMxAA..21..381G"/>
    <hyperlink ref="AP4425" r:id="rId16" display="http://cdsbib.u-strasbg.fr/cgi-bin/cdsbib?1990RMxAA..21..381G"/>
    <hyperlink ref="I1208" r:id="rId17" display="http://vsolj.cetus-net.org/bulletin.html"/>
    <hyperlink ref="AQ4559" r:id="rId18" display="http://cdsbib.u-strasbg.fr/cgi-bin/cdsbib?1990RMxAA..21..381G"/>
    <hyperlink ref="AQ64647" r:id="rId19" display="http://cdsbib.u-strasbg.fr/cgi-bin/cdsbib?1990RMxAA..21..381G"/>
    <hyperlink ref="AQ456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2024-03-02T06:12:10Z</dcterms:modified>
</cp:coreProperties>
</file>