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49E1EBD-CDB5-438E-A7C5-A3FD137D90B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F11" i="1"/>
  <c r="C21" i="1"/>
  <c r="E21" i="1"/>
  <c r="F21" i="1"/>
  <c r="A21" i="1"/>
  <c r="H20" i="1"/>
  <c r="G11" i="1"/>
  <c r="E14" i="1"/>
  <c r="E15" i="1" s="1"/>
  <c r="Q21" i="1"/>
  <c r="G21" i="1"/>
  <c r="C17" i="1"/>
  <c r="H21" i="1"/>
  <c r="C11" i="1"/>
  <c r="C12" i="1" l="1"/>
  <c r="C16" i="1" l="1"/>
  <c r="D18" i="1" s="1"/>
  <c r="O23" i="1"/>
  <c r="S23" i="1" s="1"/>
  <c r="O21" i="1"/>
  <c r="S21" i="1" s="1"/>
  <c r="O22" i="1"/>
  <c r="S22" i="1" s="1"/>
  <c r="C15" i="1"/>
  <c r="S19" i="1" l="1"/>
  <c r="C18" i="1"/>
  <c r="E16" i="1"/>
  <c r="E17" i="1" s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<sst xmlns="http://schemas.openxmlformats.org/spreadsheetml/2006/main" count="56" uniqueCount="52">
  <si>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</si>
  <si>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</si>
  <si>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</si>
  <si>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</si>
  <si>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</si>
  <si>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</si>
  <si>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</si>
  <si>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</si>
  <si>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</si>
  <si>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</si>
  <si>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</si>
  <si>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</si>
  <si>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</si>
  <si>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</si>
  <si>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</si>
  <si>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</si>
  <si>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</si>
  <si>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</si>
  <si>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</si>
  <si>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</si>
  <si>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</si>
  <si>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</si>
  <si>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</si>
  <si>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</si>
  <si>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</si>
  <si>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</si>
  <si>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</si>
  <si>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</si>
  <si>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</si>
  <si>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</si>
  <si>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</si>
  <si>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</si>
  <si>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</si>
  <si>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</si>
  <si>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</si>
  <si>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</si>
  <si>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</si>
  <si>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</si>
  <si>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</si>
  <si>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</si>
  <si>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</si>
  <si>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</si>
  <si>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G2225-1482</t>
  </si>
  <si>
    <t>G2225-1482_Peg.xls</t>
  </si>
  <si>
    <t>EC</t>
  </si>
  <si>
    <t>Peg</t>
  </si>
  <si>
    <t>VSX</t>
  </si>
  <si>
    <t>IBVS 5920</t>
  </si>
  <si>
    <t>I</t>
  </si>
  <si>
    <t>IBVS 6011</t>
  </si>
  <si>
    <t>V0661 Peg / GSC 2225-1482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</si>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</sst>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/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V0661 Peg - O-C Diagr.</a:t>
            </a:r>
          </a:p>
        </c:rich>
      </c:tx>
      <c:layout>
        <c:manualLayout>
          <c:xMode val="edge"/>
          <c:yMode val="edge"/>
          <c:x val="0.34536340852130326"/>
          <c:y val="3.91006842619745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505</c:v>
                </c:pt>
                <c:pt idx="2">
                  <c:v>1472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F3-4BAC-BF8F-57B42E70A4B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505</c:v>
                </c:pt>
                <c:pt idx="2">
                  <c:v>1472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-7.3799999736365862E-3</c:v>
                </c:pt>
                <c:pt idx="2">
                  <c:v>-1.5851999967708252E-2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F3-4BAC-BF8F-57B42E70A4B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505</c:v>
                </c:pt>
                <c:pt idx="2">
                  <c:v>1472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F3-4BAC-BF8F-57B42E70A4B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505</c:v>
                </c:pt>
                <c:pt idx="2">
                  <c:v>1472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8F3-4BAC-BF8F-57B42E70A4B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505</c:v>
                </c:pt>
                <c:pt idx="2">
                  <c:v>1472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8F3-4BAC-BF8F-57B42E70A4B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505</c:v>
                </c:pt>
                <c:pt idx="2">
                  <c:v>1472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8F3-4BAC-BF8F-57B42E70A4B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505</c:v>
                </c:pt>
                <c:pt idx="2">
                  <c:v>1472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8F3-4BAC-BF8F-57B42E70A4B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505</c:v>
                </c:pt>
                <c:pt idx="2">
                  <c:v>1472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-8.2331446419964954E-4</c:v>
                </c:pt>
                <c:pt idx="1">
                  <c:v>-6.1267229402323627E-3</c:v>
                </c:pt>
                <c:pt idx="2">
                  <c:v>-1.6281962536912824E-2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8F3-4BAC-BF8F-57B42E70A4B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505</c:v>
                </c:pt>
                <c:pt idx="2">
                  <c:v>1472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8F3-4BAC-BF8F-57B42E70A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1973776"/>
        <c:axId val="1"/>
      </c:scatterChart>
      <c:valAx>
        <c:axId val="881973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19737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9D65E7A-C5E2-3980-DFEC-7BCDFCF241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6" t="s">
        <v>50</v>
      </c>
      <c r="E1" t="s">
        <v>43</v>
      </c>
    </row>
    <row r="2" spans="1:7" s="7" customFormat="1" ht="12.95" customHeight="1" x14ac:dyDescent="0.2">
      <c r="A2" s="7" t="s">
        <v>24</v>
      </c>
      <c r="B2" s="7" t="s">
        <v>44</v>
      </c>
      <c r="C2" s="8" t="s">
        <v>41</v>
      </c>
      <c r="D2" s="9" t="s">
        <v>45</v>
      </c>
      <c r="E2" s="3" t="s">
        <v>42</v>
      </c>
      <c r="F2" s="7" t="e">
        <v>#N/A</v>
      </c>
    </row>
    <row r="3" spans="1:7" s="7" customFormat="1" ht="12.95" customHeight="1" thickBot="1" x14ac:dyDescent="0.25"/>
    <row r="4" spans="1:7" s="7" customFormat="1" ht="12.95" customHeight="1" thickTop="1" thickBot="1" x14ac:dyDescent="0.25">
      <c r="A4" s="10" t="s">
        <v>0</v>
      </c>
      <c r="C4" s="11" t="s">
        <v>40</v>
      </c>
      <c r="D4" s="12" t="s">
        <v>40</v>
      </c>
    </row>
    <row r="5" spans="1:7" s="7" customFormat="1" ht="12.95" customHeight="1" x14ac:dyDescent="0.2"/>
    <row r="6" spans="1:7" s="7" customFormat="1" ht="12.95" customHeight="1" x14ac:dyDescent="0.2">
      <c r="A6" s="10" t="s">
        <v>1</v>
      </c>
    </row>
    <row r="7" spans="1:7" s="7" customFormat="1" ht="12.95" customHeight="1" x14ac:dyDescent="0.2">
      <c r="A7" s="7" t="s">
        <v>2</v>
      </c>
      <c r="C7" s="35">
        <v>54761.56799999997</v>
      </c>
      <c r="D7" s="14" t="s">
        <v>46</v>
      </c>
    </row>
    <row r="8" spans="1:7" s="7" customFormat="1" ht="12.95" customHeight="1" x14ac:dyDescent="0.2">
      <c r="A8" s="7" t="s">
        <v>3</v>
      </c>
      <c r="C8" s="35">
        <v>0.74871600000000005</v>
      </c>
      <c r="D8" s="14" t="s">
        <v>46</v>
      </c>
    </row>
    <row r="9" spans="1:7" s="7" customFormat="1" ht="12.95" customHeight="1" x14ac:dyDescent="0.2">
      <c r="A9" s="15" t="s">
        <v>30</v>
      </c>
      <c r="C9" s="16">
        <v>-9.5</v>
      </c>
      <c r="D9" s="7" t="s">
        <v>31</v>
      </c>
    </row>
    <row r="10" spans="1:7" s="7" customFormat="1" ht="12.95" customHeight="1" thickBot="1" x14ac:dyDescent="0.25">
      <c r="C10" s="17" t="s">
        <v>20</v>
      </c>
      <c r="D10" s="17" t="s">
        <v>21</v>
      </c>
    </row>
    <row r="11" spans="1:7" s="7" customFormat="1" ht="12.95" customHeight="1" x14ac:dyDescent="0.2">
      <c r="A11" s="7" t="s">
        <v>15</v>
      </c>
      <c r="C11" s="18">
        <f ca="1">INTERCEPT(INDIRECT($G$11):G992,INDIRECT($F$11):F992)</f>
        <v>-8.2331446419964954E-4</v>
      </c>
      <c r="D11" s="9"/>
      <c r="F11" s="19" t="str">
        <f>"F"&amp;E19</f>
        <v>F21</v>
      </c>
      <c r="G11" s="18" t="str">
        <f>"G"&amp;E19</f>
        <v>G21</v>
      </c>
    </row>
    <row r="12" spans="1:7" s="7" customFormat="1" ht="12.95" customHeight="1" x14ac:dyDescent="0.2">
      <c r="A12" s="7" t="s">
        <v>16</v>
      </c>
      <c r="C12" s="18">
        <f ca="1">SLOPE(INDIRECT($G$11):G992,INDIRECT($F$11):F992)</f>
        <v>-1.0501798962441016E-5</v>
      </c>
      <c r="D12" s="9"/>
    </row>
    <row r="13" spans="1:7" s="7" customFormat="1" ht="12.95" customHeight="1" x14ac:dyDescent="0.2">
      <c r="A13" s="7" t="s">
        <v>19</v>
      </c>
      <c r="C13" s="9" t="s">
        <v>13</v>
      </c>
      <c r="D13" s="20" t="s">
        <v>37</v>
      </c>
      <c r="E13" s="16">
        <v>1</v>
      </c>
    </row>
    <row r="14" spans="1:7" s="7" customFormat="1" ht="12.95" customHeight="1" x14ac:dyDescent="0.2">
      <c r="D14" s="20" t="s">
        <v>32</v>
      </c>
      <c r="E14" s="21">
        <f ca="1">NOW()+15018.5+$C$9/24</f>
        <v>60371.831821643515</v>
      </c>
    </row>
    <row r="15" spans="1:7" s="7" customFormat="1" ht="12.95" customHeight="1" x14ac:dyDescent="0.2">
      <c r="A15" s="22" t="s">
        <v>17</v>
      </c>
      <c r="C15" s="23">
        <f ca="1">(C7+C11)+(C8+C12)*INT(MAX(F21:F3533))</f>
        <v>55863.661670037436</v>
      </c>
      <c r="D15" s="20" t="s">
        <v>38</v>
      </c>
      <c r="E15" s="21">
        <f ca="1">ROUND(2*(E14-$C$7)/$C$8,0)/2+E13</f>
        <v>7494</v>
      </c>
    </row>
    <row r="16" spans="1:7" s="7" customFormat="1" ht="12.95" customHeight="1" x14ac:dyDescent="0.2">
      <c r="A16" s="10" t="s">
        <v>4</v>
      </c>
      <c r="C16" s="24">
        <f ca="1">+C8+C12</f>
        <v>0.7487054982010376</v>
      </c>
      <c r="D16" s="20" t="s">
        <v>39</v>
      </c>
      <c r="E16" s="18">
        <f ca="1">ROUND(2*(E14-$C$15)/$C$16,0)/2+E13</f>
        <v>6022.5</v>
      </c>
    </row>
    <row r="17" spans="1:19" s="7" customFormat="1" ht="12.95" customHeight="1" thickBot="1" x14ac:dyDescent="0.25">
      <c r="A17" s="20" t="s">
        <v>29</v>
      </c>
      <c r="C17" s="7">
        <f>COUNT(C21:C2191)</f>
        <v>3</v>
      </c>
      <c r="D17" s="20" t="s">
        <v>33</v>
      </c>
      <c r="E17" s="25">
        <f ca="1">+$C$15+$C$16*E16-15018.5-$C$9/24</f>
        <v>45354.636366286519</v>
      </c>
    </row>
    <row r="18" spans="1:19" s="7" customFormat="1" ht="12.95" customHeight="1" thickTop="1" thickBot="1" x14ac:dyDescent="0.25">
      <c r="A18" s="10" t="s">
        <v>5</v>
      </c>
      <c r="C18" s="26">
        <f ca="1">+C15</f>
        <v>55863.661670037436</v>
      </c>
      <c r="D18" s="27">
        <f ca="1">+C16</f>
        <v>0.7487054982010376</v>
      </c>
      <c r="E18" s="28" t="s">
        <v>34</v>
      </c>
    </row>
    <row r="19" spans="1:19" s="7" customFormat="1" ht="12.95" customHeight="1" thickTop="1" x14ac:dyDescent="0.2">
      <c r="A19" s="29" t="s">
        <v>35</v>
      </c>
      <c r="E19" s="30">
        <v>21</v>
      </c>
      <c r="S19" s="7">
        <f ca="1">SQRT(SUM(S21:S50)/(COUNT(S21:S50)-1))</f>
        <v>1.1030452937970958E-3</v>
      </c>
    </row>
    <row r="20" spans="1:19" s="7" customFormat="1" ht="12.95" customHeight="1" thickBot="1" x14ac:dyDescent="0.25">
      <c r="A20" s="17" t="s">
        <v>6</v>
      </c>
      <c r="B20" s="17" t="s">
        <v>7</v>
      </c>
      <c r="C20" s="17" t="s">
        <v>8</v>
      </c>
      <c r="D20" s="17" t="s">
        <v>12</v>
      </c>
      <c r="E20" s="17" t="s">
        <v>9</v>
      </c>
      <c r="F20" s="17" t="s">
        <v>10</v>
      </c>
      <c r="G20" s="17" t="s">
        <v>11</v>
      </c>
      <c r="H20" s="31" t="str">
        <f>A21</f>
        <v>VSX</v>
      </c>
      <c r="I20" s="31" t="s">
        <v>51</v>
      </c>
      <c r="J20" s="31" t="s">
        <v>18</v>
      </c>
      <c r="K20" s="31" t="s">
        <v>25</v>
      </c>
      <c r="L20" s="31" t="s">
        <v>26</v>
      </c>
      <c r="M20" s="31" t="s">
        <v>27</v>
      </c>
      <c r="N20" s="31" t="s">
        <v>28</v>
      </c>
      <c r="O20" s="31" t="s">
        <v>23</v>
      </c>
      <c r="P20" s="32" t="s">
        <v>22</v>
      </c>
      <c r="Q20" s="17" t="s">
        <v>14</v>
      </c>
      <c r="R20" s="33" t="s">
        <v>36</v>
      </c>
    </row>
    <row r="21" spans="1:19" s="7" customFormat="1" ht="12.95" customHeight="1" x14ac:dyDescent="0.2">
      <c r="A21" s="7" t="str">
        <f>D7</f>
        <v>VSX</v>
      </c>
      <c r="C21" s="13">
        <f>C$7</f>
        <v>54761.56799999997</v>
      </c>
      <c r="D21" s="13" t="s">
        <v>13</v>
      </c>
      <c r="E21" s="7">
        <f>+(C21-C$7)/C$8</f>
        <v>0</v>
      </c>
      <c r="F21" s="7">
        <f>ROUND(2*E21,0)/2</f>
        <v>0</v>
      </c>
      <c r="G21" s="7">
        <f>+C21-(C$7+F21*C$8)</f>
        <v>0</v>
      </c>
      <c r="H21" s="7">
        <f>+G21</f>
        <v>0</v>
      </c>
      <c r="O21" s="7">
        <f ca="1">+C$11+C$12*$F21</f>
        <v>-8.2331446419964954E-4</v>
      </c>
      <c r="Q21" s="34">
        <f>+C21-15018.5</f>
        <v>39743.06799999997</v>
      </c>
      <c r="S21" s="7">
        <f ca="1">+(O21-G21)^2</f>
        <v>6.7784670696035602E-7</v>
      </c>
    </row>
    <row r="22" spans="1:19" s="7" customFormat="1" ht="12.95" customHeight="1" x14ac:dyDescent="0.2">
      <c r="A22" s="4" t="s">
        <v>47</v>
      </c>
      <c r="B22" s="5" t="s">
        <v>48</v>
      </c>
      <c r="C22" s="4">
        <v>55139.662199999999</v>
      </c>
      <c r="D22" s="4">
        <v>2.9999999999999997E-4</v>
      </c>
      <c r="E22" s="7">
        <f>+(C22-C$7)/C$8</f>
        <v>504.9901431250683</v>
      </c>
      <c r="F22" s="7">
        <f>ROUND(2*E22,0)/2</f>
        <v>505</v>
      </c>
      <c r="G22" s="7">
        <f>+C22-(C$7+F22*C$8)</f>
        <v>-7.3799999736365862E-3</v>
      </c>
      <c r="I22" s="7">
        <f>+G22</f>
        <v>-7.3799999736365862E-3</v>
      </c>
      <c r="O22" s="7">
        <f ca="1">+C$11+C$12*$F22</f>
        <v>-6.1267229402323627E-3</v>
      </c>
      <c r="Q22" s="34">
        <f>+C22-15018.5</f>
        <v>40121.162199999999</v>
      </c>
      <c r="S22" s="7">
        <f ca="1">+(O22-G22)^2</f>
        <v>1.5707033224584911E-6</v>
      </c>
    </row>
    <row r="23" spans="1:19" s="7" customFormat="1" ht="12.95" customHeight="1" x14ac:dyDescent="0.2">
      <c r="A23" s="4" t="s">
        <v>49</v>
      </c>
      <c r="B23" s="5" t="s">
        <v>48</v>
      </c>
      <c r="C23" s="4">
        <v>55863.662100000001</v>
      </c>
      <c r="D23" s="4">
        <v>5.0000000000000001E-4</v>
      </c>
      <c r="E23" s="7">
        <f>+(C23-C$7)/C$8</f>
        <v>1471.978827753155</v>
      </c>
      <c r="F23" s="7">
        <f>ROUND(2*E23,0)/2</f>
        <v>1472</v>
      </c>
      <c r="G23" s="7">
        <f>+C23-(C$7+F23*C$8)</f>
        <v>-1.5851999967708252E-2</v>
      </c>
      <c r="I23" s="7">
        <f>+G23</f>
        <v>-1.5851999967708252E-2</v>
      </c>
      <c r="O23" s="7">
        <f ca="1">+C$11+C$12*$F23</f>
        <v>-1.6281962536912824E-2</v>
      </c>
      <c r="Q23" s="34">
        <f>+C23-15018.5</f>
        <v>40845.162100000001</v>
      </c>
      <c r="S23" s="7">
        <f ca="1">+(O23-G23)^2</f>
        <v>1.8486781091699584E-7</v>
      </c>
    </row>
    <row r="24" spans="1:19" s="7" customFormat="1" ht="12.95" customHeight="1" x14ac:dyDescent="0.2">
      <c r="C24" s="13"/>
      <c r="D24" s="13"/>
      <c r="Q24" s="34"/>
    </row>
    <row r="25" spans="1:19" s="7" customFormat="1" ht="12.95" customHeight="1" x14ac:dyDescent="0.2">
      <c r="C25" s="13"/>
      <c r="D25" s="13"/>
      <c r="Q25" s="34"/>
    </row>
    <row r="26" spans="1:19" s="7" customFormat="1" ht="12.95" customHeight="1" x14ac:dyDescent="0.2">
      <c r="C26" s="13"/>
      <c r="D26" s="13"/>
      <c r="Q26" s="34"/>
    </row>
    <row r="27" spans="1:19" s="7" customFormat="1" ht="12.95" customHeight="1" x14ac:dyDescent="0.2">
      <c r="C27" s="13"/>
      <c r="D27" s="13"/>
      <c r="Q27" s="34"/>
    </row>
    <row r="28" spans="1:19" s="7" customFormat="1" ht="12.95" customHeight="1" x14ac:dyDescent="0.2">
      <c r="C28" s="13"/>
      <c r="D28" s="13"/>
      <c r="Q28" s="34"/>
    </row>
    <row r="29" spans="1:19" s="7" customFormat="1" ht="12.95" customHeight="1" x14ac:dyDescent="0.2">
      <c r="C29" s="13"/>
      <c r="D29" s="13"/>
      <c r="Q29" s="34"/>
    </row>
    <row r="30" spans="1:19" x14ac:dyDescent="0.2">
      <c r="C30" s="2"/>
      <c r="D30" s="2"/>
      <c r="Q30" s="1"/>
    </row>
    <row r="31" spans="1:19" x14ac:dyDescent="0.2">
      <c r="C31" s="2"/>
      <c r="D31" s="2"/>
      <c r="Q31" s="1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2024-03-02T06:57:49Z</dcterms:modified>
</cp:coreProperties>
</file>