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1FB7A1-7010-4A92-BAC5-F0ACC769F5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3" l="1"/>
  <c r="C8" i="3"/>
  <c r="C9" i="3"/>
  <c r="D9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E53" i="3"/>
  <c r="F53" i="3"/>
  <c r="G53" i="3"/>
  <c r="J53" i="3"/>
  <c r="E54" i="3"/>
  <c r="F54" i="3"/>
  <c r="G54" i="3"/>
  <c r="J54" i="3"/>
  <c r="E55" i="3"/>
  <c r="F55" i="3"/>
  <c r="G55" i="3"/>
  <c r="J55" i="3"/>
  <c r="E56" i="3"/>
  <c r="F56" i="3"/>
  <c r="G56" i="3"/>
  <c r="E57" i="3"/>
  <c r="F57" i="3"/>
  <c r="G57" i="3"/>
  <c r="K57" i="3"/>
  <c r="E58" i="3"/>
  <c r="F58" i="3"/>
  <c r="G58" i="3"/>
  <c r="J58" i="3"/>
  <c r="E59" i="3"/>
  <c r="F59" i="3"/>
  <c r="G59" i="3"/>
  <c r="K59" i="3"/>
  <c r="E60" i="3"/>
  <c r="F60" i="3"/>
  <c r="G60" i="3"/>
  <c r="E61" i="3"/>
  <c r="F61" i="3"/>
  <c r="G61" i="3"/>
  <c r="K61" i="3"/>
  <c r="E64" i="3"/>
  <c r="F64" i="3"/>
  <c r="G64" i="3"/>
  <c r="K64" i="3"/>
  <c r="E65" i="3"/>
  <c r="F65" i="3"/>
  <c r="G65" i="3"/>
  <c r="K65" i="3"/>
  <c r="E62" i="3"/>
  <c r="F62" i="3"/>
  <c r="E63" i="3"/>
  <c r="F63" i="3"/>
  <c r="U63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E27" i="3"/>
  <c r="F27" i="3"/>
  <c r="G27" i="3"/>
  <c r="H27" i="3"/>
  <c r="E28" i="3"/>
  <c r="F28" i="3"/>
  <c r="E29" i="3"/>
  <c r="F29" i="3"/>
  <c r="G29" i="3"/>
  <c r="H29" i="3"/>
  <c r="E30" i="3"/>
  <c r="F30" i="3"/>
  <c r="E31" i="3"/>
  <c r="F31" i="3"/>
  <c r="G31" i="3"/>
  <c r="H31" i="3"/>
  <c r="E32" i="3"/>
  <c r="F32" i="3"/>
  <c r="E33" i="3"/>
  <c r="F33" i="3"/>
  <c r="G33" i="3"/>
  <c r="H33" i="3"/>
  <c r="E34" i="3"/>
  <c r="F34" i="3"/>
  <c r="E35" i="3"/>
  <c r="F35" i="3"/>
  <c r="G35" i="3"/>
  <c r="H35" i="3"/>
  <c r="E36" i="3"/>
  <c r="F36" i="3"/>
  <c r="E37" i="3"/>
  <c r="F37" i="3"/>
  <c r="G37" i="3"/>
  <c r="H37" i="3"/>
  <c r="E38" i="3"/>
  <c r="F38" i="3"/>
  <c r="E39" i="3"/>
  <c r="F39" i="3"/>
  <c r="G39" i="3"/>
  <c r="H39" i="3"/>
  <c r="E40" i="3"/>
  <c r="F40" i="3"/>
  <c r="E41" i="3"/>
  <c r="F41" i="3"/>
  <c r="G41" i="3"/>
  <c r="H41" i="3"/>
  <c r="E42" i="3"/>
  <c r="F42" i="3"/>
  <c r="E43" i="3"/>
  <c r="F43" i="3"/>
  <c r="G43" i="3"/>
  <c r="H43" i="3"/>
  <c r="E44" i="3"/>
  <c r="F44" i="3"/>
  <c r="E45" i="3"/>
  <c r="F45" i="3"/>
  <c r="G45" i="3"/>
  <c r="H45" i="3"/>
  <c r="E46" i="3"/>
  <c r="F46" i="3"/>
  <c r="E47" i="3"/>
  <c r="F47" i="3"/>
  <c r="G47" i="3"/>
  <c r="H47" i="3"/>
  <c r="E48" i="3"/>
  <c r="F48" i="3"/>
  <c r="F16" i="3"/>
  <c r="F17" i="3" s="1"/>
  <c r="C17" i="3"/>
  <c r="Q21" i="3"/>
  <c r="Q22" i="3"/>
  <c r="Q23" i="3"/>
  <c r="Q24" i="3"/>
  <c r="Q25" i="3"/>
  <c r="Q26" i="3"/>
  <c r="Q27" i="3"/>
  <c r="G28" i="3"/>
  <c r="H28" i="3"/>
  <c r="Q28" i="3"/>
  <c r="Q29" i="3"/>
  <c r="G30" i="3"/>
  <c r="H30" i="3"/>
  <c r="Q30" i="3"/>
  <c r="Q31" i="3"/>
  <c r="G32" i="3"/>
  <c r="H32" i="3"/>
  <c r="Q32" i="3"/>
  <c r="Q33" i="3"/>
  <c r="G34" i="3"/>
  <c r="H34" i="3"/>
  <c r="Q34" i="3"/>
  <c r="Q35" i="3"/>
  <c r="G36" i="3"/>
  <c r="H36" i="3"/>
  <c r="Q36" i="3"/>
  <c r="Q37" i="3"/>
  <c r="G38" i="3"/>
  <c r="H38" i="3"/>
  <c r="Q38" i="3"/>
  <c r="Q39" i="3"/>
  <c r="G40" i="3"/>
  <c r="H40" i="3"/>
  <c r="Q40" i="3"/>
  <c r="Q41" i="3"/>
  <c r="G42" i="3"/>
  <c r="H42" i="3"/>
  <c r="Q42" i="3"/>
  <c r="Q43" i="3"/>
  <c r="G44" i="3"/>
  <c r="H44" i="3"/>
  <c r="Q44" i="3"/>
  <c r="Q45" i="3"/>
  <c r="G46" i="3"/>
  <c r="H46" i="3"/>
  <c r="Q46" i="3"/>
  <c r="Q47" i="3"/>
  <c r="G48" i="3"/>
  <c r="J48" i="3"/>
  <c r="Q48" i="3"/>
  <c r="Q49" i="3"/>
  <c r="Q50" i="3"/>
  <c r="Q51" i="3"/>
  <c r="K52" i="3"/>
  <c r="Q52" i="3"/>
  <c r="Q53" i="3"/>
  <c r="Q54" i="3"/>
  <c r="Q55" i="3"/>
  <c r="J56" i="3"/>
  <c r="Q56" i="3"/>
  <c r="Q57" i="3"/>
  <c r="Q58" i="3"/>
  <c r="Q59" i="3"/>
  <c r="K60" i="3"/>
  <c r="Q60" i="3"/>
  <c r="Q61" i="3"/>
  <c r="Q62" i="3"/>
  <c r="U62" i="3"/>
  <c r="Q63" i="3"/>
  <c r="Q64" i="3"/>
  <c r="Q65" i="3"/>
  <c r="C7" i="1"/>
  <c r="C8" i="1"/>
  <c r="E22" i="1"/>
  <c r="F22" i="1"/>
  <c r="G22" i="1"/>
  <c r="I22" i="1"/>
  <c r="C18" i="1"/>
  <c r="Q21" i="1"/>
  <c r="Q22" i="1"/>
  <c r="Q23" i="1"/>
  <c r="Q24" i="1"/>
  <c r="Q25" i="1"/>
  <c r="Q26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E15" i="2"/>
  <c r="D15" i="2"/>
  <c r="A16" i="2"/>
  <c r="H16" i="2"/>
  <c r="B16" i="2"/>
  <c r="G16" i="2"/>
  <c r="C16" i="2"/>
  <c r="D16" i="2"/>
  <c r="E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E19" i="2"/>
  <c r="D19" i="2"/>
  <c r="A20" i="2"/>
  <c r="H20" i="2"/>
  <c r="B20" i="2"/>
  <c r="G20" i="2"/>
  <c r="C20" i="2"/>
  <c r="D20" i="2"/>
  <c r="E20" i="2"/>
  <c r="A21" i="2"/>
  <c r="H21" i="2"/>
  <c r="B21" i="2"/>
  <c r="G21" i="2"/>
  <c r="C21" i="2"/>
  <c r="E21" i="2"/>
  <c r="D21" i="2"/>
  <c r="A22" i="2"/>
  <c r="H22" i="2"/>
  <c r="B22" i="2"/>
  <c r="G22" i="2"/>
  <c r="C22" i="2"/>
  <c r="E22" i="2"/>
  <c r="D22" i="2"/>
  <c r="A23" i="2"/>
  <c r="H23" i="2"/>
  <c r="B23" i="2"/>
  <c r="G23" i="2"/>
  <c r="C23" i="2"/>
  <c r="E23" i="2"/>
  <c r="D23" i="2"/>
  <c r="A24" i="2"/>
  <c r="H24" i="2"/>
  <c r="B24" i="2"/>
  <c r="G24" i="2"/>
  <c r="C24" i="2"/>
  <c r="D24" i="2"/>
  <c r="E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E27" i="2"/>
  <c r="D27" i="2"/>
  <c r="A28" i="2"/>
  <c r="H28" i="2"/>
  <c r="B28" i="2"/>
  <c r="G28" i="2"/>
  <c r="C28" i="2"/>
  <c r="D28" i="2"/>
  <c r="E28" i="2"/>
  <c r="A29" i="2"/>
  <c r="H29" i="2"/>
  <c r="B29" i="2"/>
  <c r="G29" i="2"/>
  <c r="C29" i="2"/>
  <c r="E29" i="2"/>
  <c r="D29" i="2"/>
  <c r="A30" i="2"/>
  <c r="H30" i="2"/>
  <c r="B30" i="2"/>
  <c r="G30" i="2"/>
  <c r="C30" i="2"/>
  <c r="E30" i="2"/>
  <c r="D30" i="2"/>
  <c r="A31" i="2"/>
  <c r="H31" i="2"/>
  <c r="B31" i="2"/>
  <c r="G31" i="2"/>
  <c r="C31" i="2"/>
  <c r="E31" i="2"/>
  <c r="D31" i="2"/>
  <c r="A32" i="2"/>
  <c r="H32" i="2"/>
  <c r="B32" i="2"/>
  <c r="G32" i="2"/>
  <c r="C32" i="2"/>
  <c r="D32" i="2"/>
  <c r="E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E35" i="2"/>
  <c r="D35" i="2"/>
  <c r="A36" i="2"/>
  <c r="H36" i="2"/>
  <c r="B36" i="2"/>
  <c r="G36" i="2"/>
  <c r="C36" i="2"/>
  <c r="D36" i="2"/>
  <c r="E36" i="2"/>
  <c r="A37" i="2"/>
  <c r="H37" i="2"/>
  <c r="B37" i="2"/>
  <c r="G37" i="2"/>
  <c r="C37" i="2"/>
  <c r="E37" i="2"/>
  <c r="D37" i="2"/>
  <c r="A38" i="2"/>
  <c r="H38" i="2"/>
  <c r="B38" i="2"/>
  <c r="G38" i="2"/>
  <c r="C38" i="2"/>
  <c r="E38" i="2"/>
  <c r="D38" i="2"/>
  <c r="A39" i="2"/>
  <c r="H39" i="2"/>
  <c r="B39" i="2"/>
  <c r="G39" i="2"/>
  <c r="C39" i="2"/>
  <c r="E39" i="2"/>
  <c r="D39" i="2"/>
  <c r="A40" i="2"/>
  <c r="H40" i="2"/>
  <c r="B40" i="2"/>
  <c r="G40" i="2"/>
  <c r="C40" i="2"/>
  <c r="D40" i="2"/>
  <c r="E40" i="2"/>
  <c r="A41" i="2"/>
  <c r="H41" i="2"/>
  <c r="B41" i="2"/>
  <c r="G41" i="2"/>
  <c r="C41" i="2"/>
  <c r="E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E43" i="2"/>
  <c r="D43" i="2"/>
  <c r="A44" i="2"/>
  <c r="H44" i="2"/>
  <c r="B44" i="2"/>
  <c r="G44" i="2"/>
  <c r="C44" i="2"/>
  <c r="D44" i="2"/>
  <c r="E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E48" i="2"/>
  <c r="A49" i="2"/>
  <c r="H49" i="2"/>
  <c r="B49" i="2"/>
  <c r="G49" i="2"/>
  <c r="C49" i="2"/>
  <c r="E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E51" i="2"/>
  <c r="D51" i="2"/>
  <c r="A52" i="2"/>
  <c r="H52" i="2"/>
  <c r="B52" i="2"/>
  <c r="G52" i="2"/>
  <c r="C52" i="2"/>
  <c r="D52" i="2"/>
  <c r="E52" i="2"/>
  <c r="E23" i="1"/>
  <c r="F23" i="1"/>
  <c r="G23" i="1"/>
  <c r="I23" i="1"/>
  <c r="E26" i="1"/>
  <c r="F26" i="1"/>
  <c r="G26" i="1"/>
  <c r="J26" i="1"/>
  <c r="G24" i="1"/>
  <c r="I24" i="1"/>
  <c r="E21" i="1"/>
  <c r="F21" i="1"/>
  <c r="G21" i="1"/>
  <c r="E24" i="1"/>
  <c r="F24" i="1"/>
  <c r="E25" i="1"/>
  <c r="F25" i="1"/>
  <c r="G25" i="1"/>
  <c r="I25" i="1"/>
  <c r="C11" i="1"/>
  <c r="C12" i="1"/>
  <c r="C16" i="1"/>
  <c r="D18" i="1"/>
  <c r="H21" i="1"/>
  <c r="O25" i="1"/>
  <c r="O26" i="1"/>
  <c r="O24" i="1"/>
  <c r="O22" i="1"/>
  <c r="O23" i="1"/>
  <c r="O21" i="1"/>
  <c r="C12" i="3"/>
  <c r="C11" i="3"/>
  <c r="O27" i="3" l="1"/>
  <c r="O43" i="3"/>
  <c r="O23" i="3"/>
  <c r="O30" i="3"/>
  <c r="O46" i="3"/>
  <c r="O24" i="3"/>
  <c r="O34" i="3"/>
  <c r="O53" i="3"/>
  <c r="O29" i="3"/>
  <c r="O45" i="3"/>
  <c r="O25" i="3"/>
  <c r="O32" i="3"/>
  <c r="O48" i="3"/>
  <c r="O54" i="3"/>
  <c r="C15" i="3"/>
  <c r="O35" i="3"/>
  <c r="O57" i="3"/>
  <c r="O31" i="3"/>
  <c r="O47" i="3"/>
  <c r="O50" i="3"/>
  <c r="O56" i="3"/>
  <c r="O60" i="3"/>
  <c r="O51" i="3"/>
  <c r="O33" i="3"/>
  <c r="O52" i="3"/>
  <c r="O58" i="3"/>
  <c r="O36" i="3"/>
  <c r="O64" i="3"/>
  <c r="O49" i="3"/>
  <c r="O38" i="3"/>
  <c r="O37" i="3"/>
  <c r="O63" i="3"/>
  <c r="O61" i="3"/>
  <c r="O40" i="3"/>
  <c r="O59" i="3"/>
  <c r="O65" i="3"/>
  <c r="O26" i="3"/>
  <c r="O41" i="3"/>
  <c r="O21" i="3"/>
  <c r="O28" i="3"/>
  <c r="O22" i="3"/>
  <c r="O39" i="3"/>
  <c r="O55" i="3"/>
  <c r="O42" i="3"/>
  <c r="O62" i="3"/>
  <c r="O44" i="3"/>
  <c r="C16" i="3"/>
  <c r="D18" i="3" s="1"/>
  <c r="C18" i="3" l="1"/>
  <c r="F18" i="3"/>
  <c r="F19" i="3" s="1"/>
</calcChain>
</file>

<file path=xl/sharedStrings.xml><?xml version="1.0" encoding="utf-8"?>
<sst xmlns="http://schemas.openxmlformats.org/spreadsheetml/2006/main" count="502" uniqueCount="247">
  <si>
    <t>BP Per</t>
  </si>
  <si>
    <t>See page B</t>
  </si>
  <si>
    <t>System Type:</t>
  </si>
  <si>
    <t>EB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</si>
  <si>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</si>
  <si>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</si>
  <si>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</si>
  <si>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</si>
  <si>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</si>
  <si>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</si>
  <si>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</si>
  <si>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</si>
  <si>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</si>
  <si>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</si>
  <si>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</si>
  <si>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</si>
  <si>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</si>
  <si>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</si>
  <si>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</si>
  <si>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</si>
  <si>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</si>
  <si>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</si>
  <si>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</si>
  <si>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</si>
  <si>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</si>
  <si>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</si>
  <si>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</si>
  <si>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Nelson</t>
  </si>
  <si>
    <t>S3</t>
  </si>
  <si>
    <t>S4</t>
  </si>
  <si>
    <t>S5</t>
  </si>
  <si>
    <t>S6</t>
  </si>
  <si>
    <t>Lin Fit</t>
  </si>
  <si>
    <t>Q. Fit</t>
  </si>
  <si>
    <t>Date</t>
  </si>
  <si>
    <t>IBVS 4222</t>
  </si>
  <si>
    <t>IBVS 4383</t>
  </si>
  <si>
    <t>IBVS 5296</t>
  </si>
  <si>
    <t>IBVS 5493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</si>
  <si>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</si>
  <si>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</si>
  <si>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</si>
  <si>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</si>
  <si>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</si>
  <si>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</si>
  <si>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</si>
  <si>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</si>
  <si>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</si>
  <si>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</si>
  <si>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</si>
  <si>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2449630.5521 </t>
  </si>
  <si>
    <t> 05.10.1994 01:15 </t>
  </si>
  <si>
    <t> -0.0092 </t>
  </si>
  <si>
    <t>E </t>
  </si>
  <si>
    <t>o</t>
  </si>
  <si>
    <t> F.Agerer </t>
  </si>
  <si>
    <t>BAVM 80 </t>
  </si>
  <si>
    <t>2449645.3909 </t>
  </si>
  <si>
    <t> 19.10.1994 21:22 </t>
  </si>
  <si>
    <t> -0.0123 </t>
  </si>
  <si>
    <t>BAVM 91 </t>
  </si>
  <si>
    <t>2450113.4070 </t>
  </si>
  <si>
    <t> 30.01.1996 21:46 </t>
  </si>
  <si>
    <t> -0.0094 </t>
  </si>
  <si>
    <t>2452278.3303 </t>
  </si>
  <si>
    <t> 03.01.2002 19:55 </t>
  </si>
  <si>
    <t> -0.0180 </t>
  </si>
  <si>
    <t>-I</t>
  </si>
  <si>
    <t>BAVM 152 </t>
  </si>
  <si>
    <t>2452885.8533 </t>
  </si>
  <si>
    <t> 03.09.2003 08:28 </t>
  </si>
  <si>
    <t>12362</t>
  </si>
  <si>
    <t> -0.0216 </t>
  </si>
  <si>
    <t>?</t>
  </si>
  <si>
    <t> R.Nelson </t>
  </si>
  <si>
    <t>IBVS 5493 </t>
  </si>
  <si>
    <t>2452913.5601 </t>
  </si>
  <si>
    <t> 01.10.2003 01:26 </t>
  </si>
  <si>
    <t>12376</t>
  </si>
  <si>
    <t> -0.0196 </t>
  </si>
  <si>
    <t>BAVM 172 </t>
  </si>
  <si>
    <t>2453407.2970 </t>
  </si>
  <si>
    <t> 05.02.2005 19:07 </t>
  </si>
  <si>
    <t>12625.5</t>
  </si>
  <si>
    <t> -0.0217 </t>
  </si>
  <si>
    <t> v.Poschinger </t>
  </si>
  <si>
    <t>BAVM 173 </t>
  </si>
  <si>
    <t>2453410.2650 </t>
  </si>
  <si>
    <t> 08.02.2005 18:21 </t>
  </si>
  <si>
    <t>12627</t>
  </si>
  <si>
    <t> -0.0221 </t>
  </si>
  <si>
    <t>2453681.3741 </t>
  </si>
  <si>
    <t> 06.11.2005 20:58 </t>
  </si>
  <si>
    <t>12764</t>
  </si>
  <si>
    <t> -0.0242 </t>
  </si>
  <si>
    <t>C </t>
  </si>
  <si>
    <t> Schmidt </t>
  </si>
  <si>
    <t>BAVM 178 </t>
  </si>
  <si>
    <t>2453738.7623 </t>
  </si>
  <si>
    <t> 03.01.2006 06:17 </t>
  </si>
  <si>
    <t>12793</t>
  </si>
  <si>
    <t> -0.0245 </t>
  </si>
  <si>
    <t>R</t>
  </si>
  <si>
    <t> R. Nelson </t>
  </si>
  <si>
    <t>IBVS 5760 </t>
  </si>
  <si>
    <t>2454815.2873 </t>
  </si>
  <si>
    <t> 14.12.2008 18:53 </t>
  </si>
  <si>
    <t>13337</t>
  </si>
  <si>
    <t> -0.0287 </t>
  </si>
  <si>
    <t>-U;-I</t>
  </si>
  <si>
    <t> M.&amp; K.Rätz </t>
  </si>
  <si>
    <t>BAVM 209 </t>
  </si>
  <si>
    <t>2455254.6057 </t>
  </si>
  <si>
    <t> 27.02.2010 02:32 </t>
  </si>
  <si>
    <t>13559</t>
  </si>
  <si>
    <t> -0.0292 </t>
  </si>
  <si>
    <t> S.Dvorak </t>
  </si>
  <si>
    <t>IBVS 5974 </t>
  </si>
  <si>
    <t>2455819.58831 </t>
  </si>
  <si>
    <t> 15.09.2011 02:07 </t>
  </si>
  <si>
    <t>13844.5</t>
  </si>
  <si>
    <t> -0.02656 </t>
  </si>
  <si>
    <t> M.Lehky </t>
  </si>
  <si>
    <t>OEJV 0160 </t>
  </si>
  <si>
    <t>2456957.4596 </t>
  </si>
  <si>
    <t> 26.10.2014 23:01 </t>
  </si>
  <si>
    <t>14419.5</t>
  </si>
  <si>
    <t> -0.0308 </t>
  </si>
  <si>
    <t> U.Schmidt </t>
  </si>
  <si>
    <t>BAVM 239 </t>
  </si>
  <si>
    <t>2425244.45 </t>
  </si>
  <si>
    <t> 29.12.1927 22:48 </t>
  </si>
  <si>
    <t> 0.05 </t>
  </si>
  <si>
    <t>P </t>
  </si>
  <si>
    <t> G.R.Miczaika </t>
  </si>
  <si>
    <t> KVBB 19.81 </t>
  </si>
  <si>
    <t>2425982.55 </t>
  </si>
  <si>
    <t> 06.01.1930 01:12 </t>
  </si>
  <si>
    <t> 0.01 </t>
  </si>
  <si>
    <t>2426932.53 </t>
  </si>
  <si>
    <t> 13.08.1932 00:43 </t>
  </si>
  <si>
    <t> 0.11 </t>
  </si>
  <si>
    <t>2427306.47 </t>
  </si>
  <si>
    <t> 21.08.1933 23:16 </t>
  </si>
  <si>
    <t> 0.04 </t>
  </si>
  <si>
    <t>2428422.527 </t>
  </si>
  <si>
    <t> 11.09.1936 00:38 </t>
  </si>
  <si>
    <t> -0.013 </t>
  </si>
  <si>
    <t> L.Meinunger </t>
  </si>
  <si>
    <t> MVS 4.62 </t>
  </si>
  <si>
    <t>2428545.301 </t>
  </si>
  <si>
    <t> 11.01.1937 19:13 </t>
  </si>
  <si>
    <t> 0.068 </t>
  </si>
  <si>
    <t>2428547.282 </t>
  </si>
  <si>
    <t> 13.01.1937 18:46 </t>
  </si>
  <si>
    <t> 0.070 </t>
  </si>
  <si>
    <t>2430787.328 </t>
  </si>
  <si>
    <t> 03.03.1943 19:52 </t>
  </si>
  <si>
    <t> -0.014 </t>
  </si>
  <si>
    <t>2430789.303 </t>
  </si>
  <si>
    <t> 05.03.1943 19:16 </t>
  </si>
  <si>
    <t> -0.018 </t>
  </si>
  <si>
    <t>2431326.564 </t>
  </si>
  <si>
    <t> 24.08.1944 01:32 </t>
  </si>
  <si>
    <t> -0.032 </t>
  </si>
  <si>
    <t>2431329.572 </t>
  </si>
  <si>
    <t> 27.08.1944 01:43 </t>
  </si>
  <si>
    <t> 0.007 </t>
  </si>
  <si>
    <t>2431443.351 </t>
  </si>
  <si>
    <t> 18.12.1944 20:25 </t>
  </si>
  <si>
    <t> -0.001 </t>
  </si>
  <si>
    <t>2435748.483 </t>
  </si>
  <si>
    <t> 01.10.1956 23:35 </t>
  </si>
  <si>
    <t> 0.003 </t>
  </si>
  <si>
    <t>2435861.280 </t>
  </si>
  <si>
    <t> 22.01.1957 18:43 </t>
  </si>
  <si>
    <t> 0.002 </t>
  </si>
  <si>
    <t>2437903.542 </t>
  </si>
  <si>
    <t> 27.08.1962 01:00 </t>
  </si>
  <si>
    <t> 0.025 </t>
  </si>
  <si>
    <t>2438113.317 </t>
  </si>
  <si>
    <t> 24.03.1963 19:36 </t>
  </si>
  <si>
    <t> 0.035 </t>
  </si>
  <si>
    <t>2438272.575 </t>
  </si>
  <si>
    <t> 31.08.1963 01:48 </t>
  </si>
  <si>
    <t> -0.009 </t>
  </si>
  <si>
    <t>2438373.526 </t>
  </si>
  <si>
    <t> 10.12.1963 00:37 </t>
  </si>
  <si>
    <t> 0.017 </t>
  </si>
  <si>
    <t>2438384.425 </t>
  </si>
  <si>
    <t> 20.12.1963 22:12 </t>
  </si>
  <si>
    <t> 0.032 </t>
  </si>
  <si>
    <t>2438385.376 </t>
  </si>
  <si>
    <t> 21.12.1963 21:01 </t>
  </si>
  <si>
    <t> -0.007 </t>
  </si>
  <si>
    <t>2438398.267 </t>
  </si>
  <si>
    <t> 03.01.1964 18:24 </t>
  </si>
  <si>
    <t> 0.022 </t>
  </si>
  <si>
    <t>2438399.233 </t>
  </si>
  <si>
    <t> 04.01.1964 17:35 </t>
  </si>
  <si>
    <t> -0.002 </t>
  </si>
  <si>
    <t>2438643.604 </t>
  </si>
  <si>
    <t> 05.09.1964 02:29 </t>
  </si>
  <si>
    <t> -0.027 </t>
  </si>
  <si>
    <t>2438652.551 </t>
  </si>
  <si>
    <t> 14.09.1964 01:13 </t>
  </si>
  <si>
    <t> 0.015 </t>
  </si>
  <si>
    <t>2439026.535 </t>
  </si>
  <si>
    <t> 23.09.1965 00:50 </t>
  </si>
  <si>
    <t> -0.016 </t>
  </si>
  <si>
    <t>2439028.513 </t>
  </si>
  <si>
    <t> 25.09.1965 00:18 </t>
  </si>
  <si>
    <t> -0.017 </t>
  </si>
  <si>
    <t>2455073.5374 </t>
  </si>
  <si>
    <t> 30.08.2009 00:53 </t>
  </si>
  <si>
    <t>13467.5</t>
  </si>
  <si>
    <t> -0.0269 </t>
  </si>
  <si>
    <t> Moschner &amp; Frank </t>
  </si>
  <si>
    <t>BAVM 212 </t>
  </si>
  <si>
    <t>2455074.5233 </t>
  </si>
  <si>
    <t> 31.08.2009 00:33 </t>
  </si>
  <si>
    <t>13468</t>
  </si>
  <si>
    <t> -0.0305 </t>
  </si>
  <si>
    <t>BP Per / GSC 03320-01007</t>
  </si>
  <si>
    <t>Likely a better period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</si>
  <si>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</si>
  <si>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</si>
  <si>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</si>
  <si>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</si>
  <si>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</si>
  <si>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</si>
  <si>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</si>
  <si>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</si>
  <si>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</si>
  <si>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</si>
  <si>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I</t>
  </si>
  <si>
    <t>II</t>
  </si>
  <si>
    <t>IBVS 5643</t>
  </si>
  <si>
    <t>IBVS 5657</t>
  </si>
  <si>
    <t>IBVS 5731</t>
  </si>
  <si>
    <t>IBVS 5760</t>
  </si>
  <si>
    <t>IBVS 5918</t>
  </si>
  <si>
    <t>IBVS 5974</t>
  </si>
  <si>
    <t>OEJV 0160</t>
  </si>
  <si>
    <t>IBVS 6152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</si>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</sst>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\$#,##0_);&quot;($&quot;#,##0\)"/>
    <numFmt numFmtId="173" formatCode="m/d/yyyy"/>
    <numFmt numFmtId="174" formatCode="m/d/yyyy\ h:mm"/>
    <numFmt numFmtId="175" formatCode="dd/mm/yyyy"/>
  </numFmts>
  <fonts count="16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72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6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173" fontId="0" fillId="0" borderId="0" xfId="0" applyNumberFormat="1" applyAlignme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6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4" fillId="2" borderId="10" xfId="0" applyFont="1" applyFill="1" applyBorder="1" applyAlignment="1">
      <alignment horizontal="left" vertical="top" wrapText="1" indent="1"/>
    </xf>
    <xf numFmtId="0" fontId="4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right" vertical="top" wrapText="1"/>
    </xf>
    <xf numFmtId="0" fontId="6" fillId="2" borderId="10" xfId="5" applyNumberFormat="1" applyFont="1" applyFill="1" applyBorder="1" applyAlignment="1" applyProtection="1">
      <alignment horizontal="right" vertical="top" wrapText="1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10" fillId="0" borderId="0" xfId="0" applyFont="1" applyAlignment="1">
      <alignment horizontal="center"/>
    </xf>
    <xf numFmtId="0" fontId="9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74" fontId="10" fillId="0" borderId="0" xfId="0" applyNumberFormat="1" applyFont="1">
      <alignment vertical="top"/>
    </xf>
    <xf numFmtId="0" fontId="3" fillId="0" borderId="3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1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3" fillId="0" borderId="0" xfId="7" applyFont="1"/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175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Per - O-C Diagr.</a:t>
            </a:r>
          </a:p>
        </c:rich>
      </c:tx>
      <c:layout>
        <c:manualLayout>
          <c:xMode val="edge"/>
          <c:yMode val="edge"/>
          <c:x val="0.371567382833204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7346516674543"/>
          <c:y val="0.23125000000000001"/>
          <c:w val="0.79644650870742617"/>
          <c:h val="0.54374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Active!$H$21:$H$65</c:f>
              <c:numCache>
                <c:formatCode>General</c:formatCode>
                <c:ptCount val="45"/>
                <c:pt idx="0">
                  <c:v>4.5883999999205116E-2</c:v>
                </c:pt>
                <c:pt idx="1">
                  <c:v>1.0961999996652594E-2</c:v>
                </c:pt>
                <c:pt idx="2">
                  <c:v>0.11224199999924167</c:v>
                </c:pt>
                <c:pt idx="3">
                  <c:v>3.7496000000828644E-2</c:v>
                </c:pt>
                <c:pt idx="4">
                  <c:v>-1.3000000002648449E-2</c:v>
                </c:pt>
                <c:pt idx="5">
                  <c:v>0</c:v>
                </c:pt>
                <c:pt idx="6">
                  <c:v>6.8331999998918036E-2</c:v>
                </c:pt>
                <c:pt idx="7">
                  <c:v>7.0417999999335734E-2</c:v>
                </c:pt>
                <c:pt idx="8">
                  <c:v>-1.4230000000679865E-2</c:v>
                </c:pt>
                <c:pt idx="9">
                  <c:v>-1.8144000001484528E-2</c:v>
                </c:pt>
                <c:pt idx="10">
                  <c:v>-3.2295000000885921E-2</c:v>
                </c:pt>
                <c:pt idx="11">
                  <c:v>7.3339999980817083E-3</c:v>
                </c:pt>
                <c:pt idx="12">
                  <c:v>-1.2210000022605527E-3</c:v>
                </c:pt>
                <c:pt idx="13">
                  <c:v>3.3719999992172234E-3</c:v>
                </c:pt>
                <c:pt idx="14">
                  <c:v>2.2739999985788018E-3</c:v>
                </c:pt>
                <c:pt idx="15">
                  <c:v>2.5026000002981164E-2</c:v>
                </c:pt>
                <c:pt idx="16">
                  <c:v>3.5142000000632834E-2</c:v>
                </c:pt>
                <c:pt idx="17">
                  <c:v>-9.434999999939464E-3</c:v>
                </c:pt>
                <c:pt idx="18">
                  <c:v>1.695099999778904E-2</c:v>
                </c:pt>
                <c:pt idx="19">
                  <c:v>3.1924000002618413E-2</c:v>
                </c:pt>
                <c:pt idx="20">
                  <c:v>-6.533000007038936E-3</c:v>
                </c:pt>
                <c:pt idx="21">
                  <c:v>2.1525999996811152E-2</c:v>
                </c:pt>
                <c:pt idx="22">
                  <c:v>-1.9309999988763593E-3</c:v>
                </c:pt>
                <c:pt idx="23">
                  <c:v>-2.681000000302447E-2</c:v>
                </c:pt>
                <c:pt idx="24">
                  <c:v>1.5076999996381346E-2</c:v>
                </c:pt>
                <c:pt idx="25">
                  <c:v>-1.5669000000343658E-2</c:v>
                </c:pt>
                <c:pt idx="26">
                  <c:v>-1.6583000004175119E-2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D9-41D4-9BEF-D159B6A143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D9-41D4-9BEF-D159B6A143E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Active!$F$21:$F$605</c:f>
              <c:numCache>
                <c:formatCode>General</c:formatCode>
                <c:ptCount val="58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Active!$J$21:$J$605</c:f>
              <c:numCache>
                <c:formatCode>General</c:formatCode>
                <c:ptCount val="585"/>
                <c:pt idx="27">
                  <c:v>-9.2379999987315387E-3</c:v>
                </c:pt>
                <c:pt idx="28">
                  <c:v>-1.2293000007048249E-2</c:v>
                </c:pt>
                <c:pt idx="29">
                  <c:v>-9.3540000016218983E-3</c:v>
                </c:pt>
                <c:pt idx="30">
                  <c:v>-1.7970000000786968E-2</c:v>
                </c:pt>
                <c:pt idx="32">
                  <c:v>-1.9564000001992099E-2</c:v>
                </c:pt>
                <c:pt idx="33">
                  <c:v>-2.1706999999878462E-2</c:v>
                </c:pt>
                <c:pt idx="34">
                  <c:v>-2.2078000001783948E-2</c:v>
                </c:pt>
                <c:pt idx="35">
                  <c:v>-2.4195999998482876E-2</c:v>
                </c:pt>
                <c:pt idx="37">
                  <c:v>-2.8717999994114507E-2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D9-41D4-9BEF-D159B6A143E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Active!$K$21:$K$650</c:f>
              <c:numCache>
                <c:formatCode>General</c:formatCode>
                <c:ptCount val="630"/>
                <c:pt idx="31">
                  <c:v>-2.1567999996477738E-2</c:v>
                </c:pt>
                <c:pt idx="36">
                  <c:v>-2.450200000021141E-2</c:v>
                </c:pt>
                <c:pt idx="38">
                  <c:v>-2.6895000002696179E-2</c:v>
                </c:pt>
                <c:pt idx="39">
                  <c:v>-3.0452000006334856E-2</c:v>
                </c:pt>
                <c:pt idx="40">
                  <c:v>-2.9225999998743646E-2</c:v>
                </c:pt>
                <c:pt idx="43">
                  <c:v>-3.6699999996926636E-2</c:v>
                </c:pt>
                <c:pt idx="44">
                  <c:v>-3.7329999890062027E-2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D9-41D4-9BEF-D159B6A143E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D9-41D4-9BEF-D159B6A143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D9-41D4-9BEF-D159B6A143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D9-41D4-9BEF-D159B6A143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0">
                  <c:v>7.6732570057024552E-2</c:v>
                </c:pt>
                <c:pt idx="1">
                  <c:v>7.4124155047260887E-2</c:v>
                </c:pt>
                <c:pt idx="2">
                  <c:v>7.0767481576251345E-2</c:v>
                </c:pt>
                <c:pt idx="3">
                  <c:v>6.9445791397041337E-2</c:v>
                </c:pt>
                <c:pt idx="4">
                  <c:v>6.5501700068605131E-2</c:v>
                </c:pt>
                <c:pt idx="5">
                  <c:v>6.5501700068605131E-2</c:v>
                </c:pt>
                <c:pt idx="6">
                  <c:v>6.5068129745266393E-2</c:v>
                </c:pt>
                <c:pt idx="7">
                  <c:v>6.5061136675535133E-2</c:v>
                </c:pt>
                <c:pt idx="8">
                  <c:v>5.714498173973763E-2</c:v>
                </c:pt>
                <c:pt idx="9">
                  <c:v>5.7137988670006364E-2</c:v>
                </c:pt>
                <c:pt idx="10">
                  <c:v>5.5239370237966587E-2</c:v>
                </c:pt>
                <c:pt idx="11">
                  <c:v>5.5228880633369684E-2</c:v>
                </c:pt>
                <c:pt idx="12">
                  <c:v>5.4826779123821667E-2</c:v>
                </c:pt>
                <c:pt idx="13">
                  <c:v>3.961335592344406E-2</c:v>
                </c:pt>
                <c:pt idx="14">
                  <c:v>3.9214750948761673E-2</c:v>
                </c:pt>
                <c:pt idx="15">
                  <c:v>3.1997902986091162E-2</c:v>
                </c:pt>
                <c:pt idx="16">
                  <c:v>3.1256637594576558E-2</c:v>
                </c:pt>
                <c:pt idx="17">
                  <c:v>3.0693695481209329E-2</c:v>
                </c:pt>
                <c:pt idx="18">
                  <c:v>3.0337048924914567E-2</c:v>
                </c:pt>
                <c:pt idx="19">
                  <c:v>3.0298587041392586E-2</c:v>
                </c:pt>
                <c:pt idx="20">
                  <c:v>3.0295090506526949E-2</c:v>
                </c:pt>
                <c:pt idx="21">
                  <c:v>3.0249635553273695E-2</c:v>
                </c:pt>
                <c:pt idx="22">
                  <c:v>3.0246139018408058E-2</c:v>
                </c:pt>
                <c:pt idx="23">
                  <c:v>2.9382494906596231E-2</c:v>
                </c:pt>
                <c:pt idx="24">
                  <c:v>2.9351026092805516E-2</c:v>
                </c:pt>
                <c:pt idx="25">
                  <c:v>2.8029335913595507E-2</c:v>
                </c:pt>
                <c:pt idx="26">
                  <c:v>2.8022342843864241E-2</c:v>
                </c:pt>
                <c:pt idx="27">
                  <c:v>-9.443028241414117E-3</c:v>
                </c:pt>
                <c:pt idx="28">
                  <c:v>-9.4954762643986307E-3</c:v>
                </c:pt>
                <c:pt idx="29">
                  <c:v>-1.1149337255843966E-2</c:v>
                </c:pt>
                <c:pt idx="30">
                  <c:v>-1.8799755541853203E-2</c:v>
                </c:pt>
                <c:pt idx="31">
                  <c:v>-2.094662794935305E-2</c:v>
                </c:pt>
                <c:pt idx="32">
                  <c:v>-2.1044530925590832E-2</c:v>
                </c:pt>
                <c:pt idx="33">
                  <c:v>-2.2789301823542663E-2</c:v>
                </c:pt>
                <c:pt idx="34">
                  <c:v>-2.2799791428139579E-2</c:v>
                </c:pt>
                <c:pt idx="35">
                  <c:v>-2.3757841981323552E-2</c:v>
                </c:pt>
                <c:pt idx="36">
                  <c:v>-2.3960641003530375E-2</c:v>
                </c:pt>
                <c:pt idx="37">
                  <c:v>-2.7764870937341188E-2</c:v>
                </c:pt>
                <c:pt idx="38">
                  <c:v>-2.8677466537271906E-2</c:v>
                </c:pt>
                <c:pt idx="39">
                  <c:v>-2.8680963072137536E-2</c:v>
                </c:pt>
                <c:pt idx="40">
                  <c:v>-2.9317332417683098E-2</c:v>
                </c:pt>
                <c:pt idx="41">
                  <c:v>-3.131385382596065E-2</c:v>
                </c:pt>
                <c:pt idx="42">
                  <c:v>-3.5334868921440818E-2</c:v>
                </c:pt>
                <c:pt idx="43">
                  <c:v>-3.5338365456306461E-2</c:v>
                </c:pt>
                <c:pt idx="44">
                  <c:v>-3.8030697302845362E-2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D9-41D4-9BEF-D159B6A143E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41">
                  <c:v>-2.6562999999441672E-2</c:v>
                </c:pt>
                <c:pt idx="42">
                  <c:v>-3.0823000000964385E-2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D9-41D4-9BEF-D159B6A14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24760"/>
        <c:axId val="1"/>
      </c:scatterChart>
      <c:valAx>
        <c:axId val="5410247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24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78046039883141"/>
          <c:y val="0.90937500000000004"/>
          <c:w val="0.7625208722899944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Per - O-C Diagr.</a:t>
            </a:r>
          </a:p>
        </c:rich>
      </c:tx>
      <c:layout>
        <c:manualLayout>
          <c:xMode val="edge"/>
          <c:yMode val="edge"/>
          <c:x val="0.3693548387096774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3301929634162"/>
          <c:y val="0.12547967867652909"/>
          <c:w val="0.83025423141755372"/>
          <c:h val="0.650223494790423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Active!$F$21:$F$605</c:f>
              <c:numCache>
                <c:formatCode>General</c:formatCode>
                <c:ptCount val="58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Active!$H$21:$H$605</c:f>
              <c:numCache>
                <c:formatCode>General</c:formatCode>
                <c:ptCount val="585"/>
                <c:pt idx="0">
                  <c:v>4.5883999999205116E-2</c:v>
                </c:pt>
                <c:pt idx="1">
                  <c:v>1.0961999996652594E-2</c:v>
                </c:pt>
                <c:pt idx="2">
                  <c:v>0.11224199999924167</c:v>
                </c:pt>
                <c:pt idx="3">
                  <c:v>3.7496000000828644E-2</c:v>
                </c:pt>
                <c:pt idx="4">
                  <c:v>-1.3000000002648449E-2</c:v>
                </c:pt>
                <c:pt idx="5">
                  <c:v>0</c:v>
                </c:pt>
                <c:pt idx="6">
                  <c:v>6.8331999998918036E-2</c:v>
                </c:pt>
                <c:pt idx="7">
                  <c:v>7.0417999999335734E-2</c:v>
                </c:pt>
                <c:pt idx="8">
                  <c:v>-1.4230000000679865E-2</c:v>
                </c:pt>
                <c:pt idx="9">
                  <c:v>-1.8144000001484528E-2</c:v>
                </c:pt>
                <c:pt idx="10">
                  <c:v>-3.2295000000885921E-2</c:v>
                </c:pt>
                <c:pt idx="11">
                  <c:v>7.3339999980817083E-3</c:v>
                </c:pt>
                <c:pt idx="12">
                  <c:v>-1.2210000022605527E-3</c:v>
                </c:pt>
                <c:pt idx="13">
                  <c:v>3.3719999992172234E-3</c:v>
                </c:pt>
                <c:pt idx="14">
                  <c:v>2.2739999985788018E-3</c:v>
                </c:pt>
                <c:pt idx="15">
                  <c:v>2.5026000002981164E-2</c:v>
                </c:pt>
                <c:pt idx="16">
                  <c:v>3.5142000000632834E-2</c:v>
                </c:pt>
                <c:pt idx="17">
                  <c:v>-9.434999999939464E-3</c:v>
                </c:pt>
                <c:pt idx="18">
                  <c:v>1.695099999778904E-2</c:v>
                </c:pt>
                <c:pt idx="19">
                  <c:v>3.1924000002618413E-2</c:v>
                </c:pt>
                <c:pt idx="20">
                  <c:v>-6.533000007038936E-3</c:v>
                </c:pt>
                <c:pt idx="21">
                  <c:v>2.1525999996811152E-2</c:v>
                </c:pt>
                <c:pt idx="22">
                  <c:v>-1.9309999988763593E-3</c:v>
                </c:pt>
                <c:pt idx="23">
                  <c:v>-2.681000000302447E-2</c:v>
                </c:pt>
                <c:pt idx="24">
                  <c:v>1.5076999996381346E-2</c:v>
                </c:pt>
                <c:pt idx="25">
                  <c:v>-1.5669000000343658E-2</c:v>
                </c:pt>
                <c:pt idx="26">
                  <c:v>-1.6583000004175119E-2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2-473A-959B-7EE6771826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2-473A-959B-7EE67718263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Active!$F$21:$F$605</c:f>
              <c:numCache>
                <c:formatCode>General</c:formatCode>
                <c:ptCount val="58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Active!$J$21:$J$605</c:f>
              <c:numCache>
                <c:formatCode>General</c:formatCode>
                <c:ptCount val="585"/>
                <c:pt idx="27">
                  <c:v>-9.2379999987315387E-3</c:v>
                </c:pt>
                <c:pt idx="28">
                  <c:v>-1.2293000007048249E-2</c:v>
                </c:pt>
                <c:pt idx="29">
                  <c:v>-9.3540000016218983E-3</c:v>
                </c:pt>
                <c:pt idx="30">
                  <c:v>-1.7970000000786968E-2</c:v>
                </c:pt>
                <c:pt idx="32">
                  <c:v>-1.9564000001992099E-2</c:v>
                </c:pt>
                <c:pt idx="33">
                  <c:v>-2.1706999999878462E-2</c:v>
                </c:pt>
                <c:pt idx="34">
                  <c:v>-2.2078000001783948E-2</c:v>
                </c:pt>
                <c:pt idx="35">
                  <c:v>-2.4195999998482876E-2</c:v>
                </c:pt>
                <c:pt idx="37">
                  <c:v>-2.8717999994114507E-2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2-473A-959B-7EE67718263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Active!$F$21:$F$650</c:f>
              <c:numCache>
                <c:formatCode>General</c:formatCode>
                <c:ptCount val="630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Active!$K$21:$K$650</c:f>
              <c:numCache>
                <c:formatCode>General</c:formatCode>
                <c:ptCount val="630"/>
                <c:pt idx="31">
                  <c:v>-2.1567999996477738E-2</c:v>
                </c:pt>
                <c:pt idx="36">
                  <c:v>-2.450200000021141E-2</c:v>
                </c:pt>
                <c:pt idx="38">
                  <c:v>-2.6895000002696179E-2</c:v>
                </c:pt>
                <c:pt idx="39">
                  <c:v>-3.0452000006334856E-2</c:v>
                </c:pt>
                <c:pt idx="40">
                  <c:v>-2.9225999998743646E-2</c:v>
                </c:pt>
                <c:pt idx="43">
                  <c:v>-3.6699999996926636E-2</c:v>
                </c:pt>
                <c:pt idx="44">
                  <c:v>-3.7329999890062027E-2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2-473A-959B-7EE67718263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2-473A-959B-7EE6771826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2-473A-959B-7EE6771826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2-473A-959B-7EE6771826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0">
                  <c:v>7.6732570057024552E-2</c:v>
                </c:pt>
                <c:pt idx="1">
                  <c:v>7.4124155047260887E-2</c:v>
                </c:pt>
                <c:pt idx="2">
                  <c:v>7.0767481576251345E-2</c:v>
                </c:pt>
                <c:pt idx="3">
                  <c:v>6.9445791397041337E-2</c:v>
                </c:pt>
                <c:pt idx="4">
                  <c:v>6.5501700068605131E-2</c:v>
                </c:pt>
                <c:pt idx="5">
                  <c:v>6.5501700068605131E-2</c:v>
                </c:pt>
                <c:pt idx="6">
                  <c:v>6.5068129745266393E-2</c:v>
                </c:pt>
                <c:pt idx="7">
                  <c:v>6.5061136675535133E-2</c:v>
                </c:pt>
                <c:pt idx="8">
                  <c:v>5.714498173973763E-2</c:v>
                </c:pt>
                <c:pt idx="9">
                  <c:v>5.7137988670006364E-2</c:v>
                </c:pt>
                <c:pt idx="10">
                  <c:v>5.5239370237966587E-2</c:v>
                </c:pt>
                <c:pt idx="11">
                  <c:v>5.5228880633369684E-2</c:v>
                </c:pt>
                <c:pt idx="12">
                  <c:v>5.4826779123821667E-2</c:v>
                </c:pt>
                <c:pt idx="13">
                  <c:v>3.961335592344406E-2</c:v>
                </c:pt>
                <c:pt idx="14">
                  <c:v>3.9214750948761673E-2</c:v>
                </c:pt>
                <c:pt idx="15">
                  <c:v>3.1997902986091162E-2</c:v>
                </c:pt>
                <c:pt idx="16">
                  <c:v>3.1256637594576558E-2</c:v>
                </c:pt>
                <c:pt idx="17">
                  <c:v>3.0693695481209329E-2</c:v>
                </c:pt>
                <c:pt idx="18">
                  <c:v>3.0337048924914567E-2</c:v>
                </c:pt>
                <c:pt idx="19">
                  <c:v>3.0298587041392586E-2</c:v>
                </c:pt>
                <c:pt idx="20">
                  <c:v>3.0295090506526949E-2</c:v>
                </c:pt>
                <c:pt idx="21">
                  <c:v>3.0249635553273695E-2</c:v>
                </c:pt>
                <c:pt idx="22">
                  <c:v>3.0246139018408058E-2</c:v>
                </c:pt>
                <c:pt idx="23">
                  <c:v>2.9382494906596231E-2</c:v>
                </c:pt>
                <c:pt idx="24">
                  <c:v>2.9351026092805516E-2</c:v>
                </c:pt>
                <c:pt idx="25">
                  <c:v>2.8029335913595507E-2</c:v>
                </c:pt>
                <c:pt idx="26">
                  <c:v>2.8022342843864241E-2</c:v>
                </c:pt>
                <c:pt idx="27">
                  <c:v>-9.443028241414117E-3</c:v>
                </c:pt>
                <c:pt idx="28">
                  <c:v>-9.4954762643986307E-3</c:v>
                </c:pt>
                <c:pt idx="29">
                  <c:v>-1.1149337255843966E-2</c:v>
                </c:pt>
                <c:pt idx="30">
                  <c:v>-1.8799755541853203E-2</c:v>
                </c:pt>
                <c:pt idx="31">
                  <c:v>-2.094662794935305E-2</c:v>
                </c:pt>
                <c:pt idx="32">
                  <c:v>-2.1044530925590832E-2</c:v>
                </c:pt>
                <c:pt idx="33">
                  <c:v>-2.2789301823542663E-2</c:v>
                </c:pt>
                <c:pt idx="34">
                  <c:v>-2.2799791428139579E-2</c:v>
                </c:pt>
                <c:pt idx="35">
                  <c:v>-2.3757841981323552E-2</c:v>
                </c:pt>
                <c:pt idx="36">
                  <c:v>-2.3960641003530375E-2</c:v>
                </c:pt>
                <c:pt idx="37">
                  <c:v>-2.7764870937341188E-2</c:v>
                </c:pt>
                <c:pt idx="38">
                  <c:v>-2.8677466537271906E-2</c:v>
                </c:pt>
                <c:pt idx="39">
                  <c:v>-2.8680963072137536E-2</c:v>
                </c:pt>
                <c:pt idx="40">
                  <c:v>-2.9317332417683098E-2</c:v>
                </c:pt>
                <c:pt idx="41">
                  <c:v>-3.131385382596065E-2</c:v>
                </c:pt>
                <c:pt idx="42">
                  <c:v>-3.5334868921440818E-2</c:v>
                </c:pt>
                <c:pt idx="43">
                  <c:v>-3.5338365456306461E-2</c:v>
                </c:pt>
                <c:pt idx="44">
                  <c:v>-3.8030697302845362E-2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2-473A-959B-7EE6771826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-1606</c:v>
                </c:pt>
                <c:pt idx="1">
                  <c:v>-1233</c:v>
                </c:pt>
                <c:pt idx="2">
                  <c:v>-753</c:v>
                </c:pt>
                <c:pt idx="3">
                  <c:v>-564</c:v>
                </c:pt>
                <c:pt idx="4">
                  <c:v>0</c:v>
                </c:pt>
                <c:pt idx="5">
                  <c:v>0</c:v>
                </c:pt>
                <c:pt idx="6">
                  <c:v>62</c:v>
                </c:pt>
                <c:pt idx="7">
                  <c:v>63</c:v>
                </c:pt>
                <c:pt idx="8">
                  <c:v>1195</c:v>
                </c:pt>
                <c:pt idx="9">
                  <c:v>1196</c:v>
                </c:pt>
                <c:pt idx="10">
                  <c:v>1467.5</c:v>
                </c:pt>
                <c:pt idx="11">
                  <c:v>1469</c:v>
                </c:pt>
                <c:pt idx="12">
                  <c:v>1526.5</c:v>
                </c:pt>
                <c:pt idx="13">
                  <c:v>3702</c:v>
                </c:pt>
                <c:pt idx="14">
                  <c:v>3759</c:v>
                </c:pt>
                <c:pt idx="15">
                  <c:v>4791</c:v>
                </c:pt>
                <c:pt idx="16">
                  <c:v>4897</c:v>
                </c:pt>
                <c:pt idx="17">
                  <c:v>4977.5</c:v>
                </c:pt>
                <c:pt idx="18">
                  <c:v>5028.5</c:v>
                </c:pt>
                <c:pt idx="19">
                  <c:v>5034</c:v>
                </c:pt>
                <c:pt idx="20">
                  <c:v>5034.5</c:v>
                </c:pt>
                <c:pt idx="21">
                  <c:v>5041</c:v>
                </c:pt>
                <c:pt idx="22">
                  <c:v>5041.5</c:v>
                </c:pt>
                <c:pt idx="23">
                  <c:v>5165</c:v>
                </c:pt>
                <c:pt idx="24">
                  <c:v>5169.5</c:v>
                </c:pt>
                <c:pt idx="25">
                  <c:v>5358.5</c:v>
                </c:pt>
                <c:pt idx="26">
                  <c:v>5359.5</c:v>
                </c:pt>
                <c:pt idx="27">
                  <c:v>10717</c:v>
                </c:pt>
                <c:pt idx="28">
                  <c:v>10724.5</c:v>
                </c:pt>
                <c:pt idx="29">
                  <c:v>10961</c:v>
                </c:pt>
                <c:pt idx="30">
                  <c:v>12055</c:v>
                </c:pt>
                <c:pt idx="31">
                  <c:v>12362</c:v>
                </c:pt>
                <c:pt idx="32">
                  <c:v>12376</c:v>
                </c:pt>
                <c:pt idx="33">
                  <c:v>12625.5</c:v>
                </c:pt>
                <c:pt idx="34">
                  <c:v>12627</c:v>
                </c:pt>
                <c:pt idx="35">
                  <c:v>12764</c:v>
                </c:pt>
                <c:pt idx="36">
                  <c:v>12793</c:v>
                </c:pt>
                <c:pt idx="37">
                  <c:v>13337</c:v>
                </c:pt>
                <c:pt idx="38">
                  <c:v>13467.5</c:v>
                </c:pt>
                <c:pt idx="39">
                  <c:v>13468</c:v>
                </c:pt>
                <c:pt idx="40">
                  <c:v>13559</c:v>
                </c:pt>
                <c:pt idx="41">
                  <c:v>13844.5</c:v>
                </c:pt>
                <c:pt idx="42">
                  <c:v>14419.5</c:v>
                </c:pt>
                <c:pt idx="43">
                  <c:v>14420</c:v>
                </c:pt>
                <c:pt idx="44">
                  <c:v>14805</c:v>
                </c:pt>
              </c:numCache>
            </c:numRef>
          </c:xVal>
          <c:yVal>
            <c:numRef>
              <c:f>Active!$U$21:$U$65</c:f>
              <c:numCache>
                <c:formatCode>General</c:formatCode>
                <c:ptCount val="45"/>
                <c:pt idx="41">
                  <c:v>-2.6562999999441672E-2</c:v>
                </c:pt>
                <c:pt idx="42">
                  <c:v>-3.0823000000964385E-2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2-473A-959B-7EE677182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10784"/>
        <c:axId val="1"/>
      </c:scatterChart>
      <c:valAx>
        <c:axId val="6671107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81009967212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1107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2258064516129"/>
          <c:y val="0.90965993736764217"/>
          <c:w val="0.76129032258064511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Per - O-C Diagr.</a:t>
            </a:r>
          </a:p>
        </c:rich>
      </c:tx>
      <c:layout>
        <c:manualLayout>
          <c:xMode val="edge"/>
          <c:yMode val="edge"/>
          <c:x val="0.371567382833204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7346516674543"/>
          <c:y val="0.234375"/>
          <c:w val="0.79483099854777628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(old)'!$H$21:$H$26</c:f>
              <c:numCache>
                <c:formatCode>General</c:formatCode>
                <c:ptCount val="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B-4FB2-AA7C-076D915B3CA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(old)'!$I$21:$I$26</c:f>
              <c:numCache>
                <c:formatCode>General</c:formatCode>
                <c:ptCount val="6"/>
                <c:pt idx="1">
                  <c:v>-9.2379999987315387E-3</c:v>
                </c:pt>
                <c:pt idx="2">
                  <c:v>-1.2293000007048249E-2</c:v>
                </c:pt>
                <c:pt idx="3">
                  <c:v>-9.3540000016218983E-3</c:v>
                </c:pt>
                <c:pt idx="4">
                  <c:v>-1.7970000000786968E-2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B-4FB2-AA7C-076D915B3CA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(old)'!$J$21:$J$26</c:f>
              <c:numCache>
                <c:formatCode>General</c:formatCode>
                <c:ptCount val="6"/>
                <c:pt idx="5">
                  <c:v>-2.1567999996477738E-2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7B-4FB2-AA7C-076D915B3CA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(old)'!$K$21:$K$26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7B-4FB2-AA7C-076D915B3CA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(old)'!$L$21:$L$26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7B-4FB2-AA7C-076D915B3CA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(old)'!$M$21:$M$26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7B-4FB2-AA7C-076D915B3CA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(old)'!$N$21:$N$26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7B-4FB2-AA7C-076D915B3CA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(old)'!$F$21:$F$26</c:f>
              <c:numCache>
                <c:formatCode>General</c:formatCode>
                <c:ptCount val="6"/>
                <c:pt idx="0">
                  <c:v>0</c:v>
                </c:pt>
                <c:pt idx="1">
                  <c:v>10717</c:v>
                </c:pt>
                <c:pt idx="2">
                  <c:v>10724.5</c:v>
                </c:pt>
                <c:pt idx="3">
                  <c:v>10961</c:v>
                </c:pt>
                <c:pt idx="4">
                  <c:v>12055</c:v>
                </c:pt>
                <c:pt idx="5">
                  <c:v>12362</c:v>
                </c:pt>
              </c:numCache>
            </c:numRef>
          </c:xVal>
          <c:yVal>
            <c:numRef>
              <c:f>'A (old)'!$O$21:$O$26</c:f>
              <c:numCache>
                <c:formatCode>General</c:formatCode>
                <c:ptCount val="6"/>
                <c:pt idx="0">
                  <c:v>1.1431398992568769E-3</c:v>
                </c:pt>
                <c:pt idx="1">
                  <c:v>-1.3433360648126072E-2</c:v>
                </c:pt>
                <c:pt idx="2">
                  <c:v>-1.3443561614264484E-2</c:v>
                </c:pt>
                <c:pt idx="3">
                  <c:v>-1.3765232079829107E-2</c:v>
                </c:pt>
                <c:pt idx="4">
                  <c:v>-1.5253213007218951E-2</c:v>
                </c:pt>
                <c:pt idx="5">
                  <c:v>-1.5670772554484659E-2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7B-4FB2-AA7C-076D915B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43328"/>
        <c:axId val="1"/>
      </c:scatterChart>
      <c:valAx>
        <c:axId val="7304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43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670453148122235"/>
          <c:y val="0.91249999999999998"/>
          <c:w val="0.89822361865509948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238125</xdr:colOff>
      <xdr:row>18</xdr:row>
      <xdr:rowOff>152400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0DB0E6F-482C-6227-3540-EAD3BBA60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27</xdr:col>
      <xdr:colOff>76200</xdr:colOff>
      <xdr:row>18</xdr:row>
      <xdr:rowOff>133350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8F3AA3AF-08E7-F472-6B46-137ED8126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9760E61-2661-3BEE-8036-E1E3A20D2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91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konkoly.hu/cgi-bin/IBVS?5974" TargetMode="External"/><Relationship Id="rId2" Type="http://schemas.openxmlformats.org/officeDocument/2006/relationships/hyperlink" Target="http://www.bav-astro.de/sfs/BAVM_link.php?BAVMnr=91" TargetMode="External"/><Relationship Id="rId16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8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konkoly.hu/cgi-bin/IBVS?5760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5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6384" width="10.28515625" style="1"/>
  </cols>
  <sheetData>
    <row r="1" spans="1:6" ht="20.25" x14ac:dyDescent="0.3">
      <c r="A1" s="2" t="s">
        <v>223</v>
      </c>
    </row>
    <row r="2" spans="1:6" x14ac:dyDescent="0.2">
      <c r="A2" s="1" t="s">
        <v>2</v>
      </c>
      <c r="B2" s="1" t="s">
        <v>3</v>
      </c>
      <c r="C2" s="3" t="s">
        <v>224</v>
      </c>
    </row>
    <row r="4" spans="1:6" x14ac:dyDescent="0.2">
      <c r="A4" s="4" t="s">
        <v>4</v>
      </c>
      <c r="C4" s="5">
        <v>28422.54</v>
      </c>
      <c r="D4" s="6">
        <v>1.9789140000000001</v>
      </c>
    </row>
    <row r="5" spans="1:6" x14ac:dyDescent="0.2">
      <c r="A5" s="27" t="s">
        <v>225</v>
      </c>
      <c r="B5"/>
      <c r="C5" s="28">
        <v>-9.5</v>
      </c>
      <c r="D5" t="s">
        <v>226</v>
      </c>
    </row>
    <row r="6" spans="1:6" x14ac:dyDescent="0.2">
      <c r="A6" s="4" t="s">
        <v>5</v>
      </c>
    </row>
    <row r="7" spans="1:6" x14ac:dyDescent="0.2">
      <c r="A7" s="1" t="s">
        <v>6</v>
      </c>
      <c r="C7" s="1">
        <f>+C4</f>
        <v>28422.54</v>
      </c>
    </row>
    <row r="8" spans="1:6" x14ac:dyDescent="0.2">
      <c r="A8" s="1" t="s">
        <v>7</v>
      </c>
      <c r="C8" s="1">
        <f>+D4</f>
        <v>1.9789140000000001</v>
      </c>
    </row>
    <row r="9" spans="1:6" x14ac:dyDescent="0.2">
      <c r="A9" s="29" t="s">
        <v>227</v>
      </c>
      <c r="B9" s="30">
        <v>49</v>
      </c>
      <c r="C9" s="31" t="str">
        <f>"F"&amp;B9</f>
        <v>F49</v>
      </c>
      <c r="D9" s="32" t="str">
        <f>"G"&amp;B9</f>
        <v>G49</v>
      </c>
    </row>
    <row r="10" spans="1:6" x14ac:dyDescent="0.2">
      <c r="A10"/>
      <c r="B10"/>
      <c r="C10" s="7" t="s">
        <v>8</v>
      </c>
      <c r="D10" s="7" t="s">
        <v>9</v>
      </c>
      <c r="E10"/>
    </row>
    <row r="11" spans="1:6" x14ac:dyDescent="0.2">
      <c r="A11" t="s">
        <v>10</v>
      </c>
      <c r="B11"/>
      <c r="C11" s="33">
        <f ca="1">INTERCEPT(INDIRECT($D$9):G992,INDIRECT($C$9):F992)</f>
        <v>6.5501700068605131E-2</v>
      </c>
      <c r="D11" s="8"/>
      <c r="E11"/>
    </row>
    <row r="12" spans="1:6" x14ac:dyDescent="0.2">
      <c r="A12" t="s">
        <v>11</v>
      </c>
      <c r="B12"/>
      <c r="C12" s="33">
        <f ca="1">SLOPE(INDIRECT($D$9):G992,INDIRECT($C$9):F992)</f>
        <v>-6.9930697312698744E-6</v>
      </c>
      <c r="D12" s="8"/>
      <c r="E12"/>
    </row>
    <row r="13" spans="1:6" x14ac:dyDescent="0.2">
      <c r="A13" t="s">
        <v>12</v>
      </c>
      <c r="B13"/>
      <c r="C13" s="8" t="s">
        <v>13</v>
      </c>
    </row>
    <row r="14" spans="1:6" x14ac:dyDescent="0.2">
      <c r="A14"/>
      <c r="B14"/>
      <c r="C14"/>
    </row>
    <row r="15" spans="1:6" x14ac:dyDescent="0.2">
      <c r="A15" s="34" t="s">
        <v>15</v>
      </c>
      <c r="B15"/>
      <c r="C15" s="35">
        <f ca="1">(C7+C11)+(C8+C12)*INT(MAX(F21:F3533))</f>
        <v>57720.323739302694</v>
      </c>
      <c r="E15" s="36" t="s">
        <v>228</v>
      </c>
      <c r="F15" s="28">
        <v>1</v>
      </c>
    </row>
    <row r="16" spans="1:6" x14ac:dyDescent="0.2">
      <c r="A16" s="34" t="s">
        <v>16</v>
      </c>
      <c r="B16"/>
      <c r="C16" s="35">
        <f ca="1">+C8+C12</f>
        <v>1.9789070069302688</v>
      </c>
      <c r="E16" s="36" t="s">
        <v>229</v>
      </c>
      <c r="F16" s="33">
        <f ca="1">NOW()+15018.5+$C$5/24</f>
        <v>60371.850749768513</v>
      </c>
    </row>
    <row r="17" spans="1:21" x14ac:dyDescent="0.2">
      <c r="A17" s="36" t="s">
        <v>230</v>
      </c>
      <c r="B17"/>
      <c r="C17">
        <f>COUNT(C21:C2191)</f>
        <v>45</v>
      </c>
      <c r="E17" s="36" t="s">
        <v>231</v>
      </c>
      <c r="F17" s="33">
        <f ca="1">ROUND(2*(F16-$C$7)/$C$8,0)/2+F15</f>
        <v>16146</v>
      </c>
    </row>
    <row r="18" spans="1:21" x14ac:dyDescent="0.2">
      <c r="A18" s="34" t="s">
        <v>17</v>
      </c>
      <c r="B18"/>
      <c r="C18" s="37">
        <f ca="1">+C15</f>
        <v>57720.323739302694</v>
      </c>
      <c r="D18" s="38">
        <f ca="1">+C16</f>
        <v>1.9789070069302688</v>
      </c>
      <c r="E18" s="36" t="s">
        <v>232</v>
      </c>
      <c r="F18" s="32">
        <f ca="1">ROUND(2*(F16-$C$15)/$C$16,0)/2+F15</f>
        <v>1341</v>
      </c>
    </row>
    <row r="19" spans="1:21" x14ac:dyDescent="0.2">
      <c r="E19" s="36" t="s">
        <v>233</v>
      </c>
      <c r="F19" s="39">
        <f ca="1">+$C$15+$C$16*F18-15018.5-$C$5/24</f>
        <v>45355.933868929518</v>
      </c>
    </row>
    <row r="20" spans="1:21" x14ac:dyDescent="0.2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9" t="s">
        <v>46</v>
      </c>
      <c r="I20" s="9" t="s">
        <v>49</v>
      </c>
      <c r="J20" s="9" t="s">
        <v>43</v>
      </c>
      <c r="K20" s="9" t="s">
        <v>41</v>
      </c>
      <c r="L20" s="9" t="s">
        <v>29</v>
      </c>
      <c r="M20" s="9" t="s">
        <v>30</v>
      </c>
      <c r="N20" s="9" t="s">
        <v>31</v>
      </c>
      <c r="O20" s="9" t="s">
        <v>32</v>
      </c>
      <c r="P20" s="9" t="s">
        <v>33</v>
      </c>
      <c r="Q20" s="7" t="s">
        <v>34</v>
      </c>
      <c r="U20" s="40" t="s">
        <v>234</v>
      </c>
    </row>
    <row r="21" spans="1:21" x14ac:dyDescent="0.2">
      <c r="A21" s="41" t="s">
        <v>135</v>
      </c>
      <c r="B21" s="42" t="s">
        <v>235</v>
      </c>
      <c r="C21" s="41">
        <v>25244.45</v>
      </c>
      <c r="D21" s="43"/>
      <c r="E21" s="1">
        <f t="shared" ref="E21:E63" si="0">+(C21-C$7)/C$8</f>
        <v>-1605.9768135452071</v>
      </c>
      <c r="F21" s="1">
        <f t="shared" ref="F21:F64" si="1">ROUND(2*E21,0)/2</f>
        <v>-1606</v>
      </c>
      <c r="G21" s="1">
        <f>+C21-(C$7+F21*C$8)</f>
        <v>4.5883999999205116E-2</v>
      </c>
      <c r="H21" s="1">
        <f>G21</f>
        <v>4.5883999999205116E-2</v>
      </c>
      <c r="O21" s="1">
        <f t="shared" ref="O21:O63" ca="1" si="2">+C$11+C$12*F21</f>
        <v>7.6732570057024552E-2</v>
      </c>
      <c r="Q21" s="67">
        <f t="shared" ref="Q21:Q63" si="3">+C21-15018.5</f>
        <v>10225.950000000001</v>
      </c>
    </row>
    <row r="22" spans="1:21" x14ac:dyDescent="0.2">
      <c r="A22" s="41" t="s">
        <v>135</v>
      </c>
      <c r="B22" s="42" t="s">
        <v>235</v>
      </c>
      <c r="C22" s="41">
        <v>25982.55</v>
      </c>
      <c r="D22" s="43"/>
      <c r="E22" s="1">
        <f t="shared" si="0"/>
        <v>-1232.9944605980863</v>
      </c>
      <c r="F22" s="1">
        <f t="shared" si="1"/>
        <v>-1233</v>
      </c>
      <c r="G22" s="1">
        <f>+C22-(C$7+F22*C$8)</f>
        <v>1.0961999996652594E-2</v>
      </c>
      <c r="H22" s="1">
        <f>G22</f>
        <v>1.0961999996652594E-2</v>
      </c>
      <c r="O22" s="1">
        <f t="shared" ca="1" si="2"/>
        <v>7.4124155047260887E-2</v>
      </c>
      <c r="Q22" s="67">
        <f t="shared" si="3"/>
        <v>10964.05</v>
      </c>
    </row>
    <row r="23" spans="1:21" x14ac:dyDescent="0.2">
      <c r="A23" s="41" t="s">
        <v>135</v>
      </c>
      <c r="B23" s="42" t="s">
        <v>235</v>
      </c>
      <c r="C23" s="41">
        <v>26932.53</v>
      </c>
      <c r="D23" s="43"/>
      <c r="E23" s="1">
        <f t="shared" si="0"/>
        <v>-752.94328101170743</v>
      </c>
      <c r="F23" s="1">
        <f t="shared" si="1"/>
        <v>-753</v>
      </c>
      <c r="G23" s="1">
        <f>+C23-(C$7+F23*C$8)</f>
        <v>0.11224199999924167</v>
      </c>
      <c r="H23" s="1">
        <f>G23</f>
        <v>0.11224199999924167</v>
      </c>
      <c r="O23" s="1">
        <f t="shared" ca="1" si="2"/>
        <v>7.0767481576251345E-2</v>
      </c>
      <c r="Q23" s="67">
        <f t="shared" si="3"/>
        <v>11914.029999999999</v>
      </c>
    </row>
    <row r="24" spans="1:21" x14ac:dyDescent="0.2">
      <c r="A24" s="41" t="s">
        <v>135</v>
      </c>
      <c r="B24" s="42" t="s">
        <v>235</v>
      </c>
      <c r="C24" s="41">
        <v>27306.47</v>
      </c>
      <c r="D24" s="43"/>
      <c r="E24" s="1">
        <f t="shared" si="0"/>
        <v>-563.98105223369976</v>
      </c>
      <c r="F24" s="1">
        <f t="shared" si="1"/>
        <v>-564</v>
      </c>
      <c r="G24" s="1">
        <f>+C24-(C$7+F24*C$8)</f>
        <v>3.7496000000828644E-2</v>
      </c>
      <c r="H24" s="1">
        <f>G24</f>
        <v>3.7496000000828644E-2</v>
      </c>
      <c r="O24" s="1">
        <f t="shared" ca="1" si="2"/>
        <v>6.9445791397041337E-2</v>
      </c>
      <c r="Q24" s="67">
        <f t="shared" si="3"/>
        <v>12287.970000000001</v>
      </c>
    </row>
    <row r="25" spans="1:21" x14ac:dyDescent="0.2">
      <c r="A25" s="44" t="s">
        <v>149</v>
      </c>
      <c r="B25" s="45" t="s">
        <v>235</v>
      </c>
      <c r="C25" s="44">
        <v>28422.526999999998</v>
      </c>
      <c r="D25" s="46"/>
      <c r="E25" s="1">
        <f t="shared" si="0"/>
        <v>-6.5692597064088932E-3</v>
      </c>
      <c r="F25" s="1">
        <f t="shared" si="1"/>
        <v>0</v>
      </c>
      <c r="G25" s="1">
        <f>+C25-(C$7+F25*C$8)</f>
        <v>-1.3000000002648449E-2</v>
      </c>
      <c r="H25" s="1">
        <f>G25</f>
        <v>-1.3000000002648449E-2</v>
      </c>
      <c r="O25" s="1">
        <f t="shared" ca="1" si="2"/>
        <v>6.5501700068605131E-2</v>
      </c>
      <c r="Q25" s="67">
        <f t="shared" si="3"/>
        <v>13404.026999999998</v>
      </c>
    </row>
    <row r="26" spans="1:21" x14ac:dyDescent="0.2">
      <c r="A26" s="1" t="s">
        <v>25</v>
      </c>
      <c r="C26" s="14">
        <v>28422.54</v>
      </c>
      <c r="D26" s="14" t="s">
        <v>13</v>
      </c>
      <c r="E26" s="1">
        <f t="shared" si="0"/>
        <v>0</v>
      </c>
      <c r="F26" s="1">
        <f t="shared" si="1"/>
        <v>0</v>
      </c>
      <c r="H26" s="32">
        <v>0</v>
      </c>
      <c r="O26" s="1">
        <f t="shared" ca="1" si="2"/>
        <v>6.5501700068605131E-2</v>
      </c>
      <c r="Q26" s="67">
        <f t="shared" si="3"/>
        <v>13404.04</v>
      </c>
    </row>
    <row r="27" spans="1:21" x14ac:dyDescent="0.2">
      <c r="A27" s="47" t="s">
        <v>149</v>
      </c>
      <c r="B27" s="48" t="s">
        <v>235</v>
      </c>
      <c r="C27" s="47">
        <v>28545.300999999999</v>
      </c>
      <c r="D27" s="14"/>
      <c r="E27" s="1">
        <f t="shared" si="0"/>
        <v>62.034530050319823</v>
      </c>
      <c r="F27" s="1">
        <f t="shared" si="1"/>
        <v>62</v>
      </c>
      <c r="G27" s="1">
        <f t="shared" ref="G27:G61" si="4">+C27-(C$7+F27*C$8)</f>
        <v>6.8331999998918036E-2</v>
      </c>
      <c r="H27" s="1">
        <f t="shared" ref="H27:H47" si="5">G27</f>
        <v>6.8331999998918036E-2</v>
      </c>
      <c r="O27" s="1">
        <f t="shared" ca="1" si="2"/>
        <v>6.5068129745266393E-2</v>
      </c>
      <c r="Q27" s="67">
        <f t="shared" si="3"/>
        <v>13526.800999999999</v>
      </c>
    </row>
    <row r="28" spans="1:21" x14ac:dyDescent="0.2">
      <c r="A28" s="47" t="s">
        <v>149</v>
      </c>
      <c r="B28" s="48" t="s">
        <v>235</v>
      </c>
      <c r="C28" s="47">
        <v>28547.281999999999</v>
      </c>
      <c r="D28" s="14"/>
      <c r="E28" s="1">
        <f t="shared" si="0"/>
        <v>63.035584163838536</v>
      </c>
      <c r="F28" s="1">
        <f t="shared" si="1"/>
        <v>63</v>
      </c>
      <c r="G28" s="1">
        <f t="shared" si="4"/>
        <v>7.0417999999335734E-2</v>
      </c>
      <c r="H28" s="1">
        <f t="shared" si="5"/>
        <v>7.0417999999335734E-2</v>
      </c>
      <c r="O28" s="1">
        <f t="shared" ca="1" si="2"/>
        <v>6.5061136675535133E-2</v>
      </c>
      <c r="Q28" s="67">
        <f t="shared" si="3"/>
        <v>13528.781999999999</v>
      </c>
    </row>
    <row r="29" spans="1:21" x14ac:dyDescent="0.2">
      <c r="A29" s="47" t="s">
        <v>149</v>
      </c>
      <c r="B29" s="48" t="s">
        <v>235</v>
      </c>
      <c r="C29" s="47">
        <v>30787.328000000001</v>
      </c>
      <c r="D29" s="14"/>
      <c r="E29" s="1">
        <f t="shared" si="0"/>
        <v>1194.9928091872614</v>
      </c>
      <c r="F29" s="1">
        <f t="shared" si="1"/>
        <v>1195</v>
      </c>
      <c r="G29" s="1">
        <f t="shared" si="4"/>
        <v>-1.4230000000679865E-2</v>
      </c>
      <c r="H29" s="1">
        <f t="shared" si="5"/>
        <v>-1.4230000000679865E-2</v>
      </c>
      <c r="O29" s="1">
        <f t="shared" ca="1" si="2"/>
        <v>5.714498173973763E-2</v>
      </c>
      <c r="Q29" s="67">
        <f t="shared" si="3"/>
        <v>15768.828000000001</v>
      </c>
    </row>
    <row r="30" spans="1:21" x14ac:dyDescent="0.2">
      <c r="A30" s="47" t="s">
        <v>149</v>
      </c>
      <c r="B30" s="48" t="s">
        <v>235</v>
      </c>
      <c r="C30" s="47">
        <v>30789.303</v>
      </c>
      <c r="D30" s="14"/>
      <c r="E30" s="1">
        <f t="shared" si="0"/>
        <v>1195.9908313347619</v>
      </c>
      <c r="F30" s="1">
        <f t="shared" si="1"/>
        <v>1196</v>
      </c>
      <c r="G30" s="1">
        <f t="shared" si="4"/>
        <v>-1.8144000001484528E-2</v>
      </c>
      <c r="H30" s="1">
        <f t="shared" si="5"/>
        <v>-1.8144000001484528E-2</v>
      </c>
      <c r="O30" s="1">
        <f t="shared" ca="1" si="2"/>
        <v>5.7137988670006364E-2</v>
      </c>
      <c r="Q30" s="67">
        <f t="shared" si="3"/>
        <v>15770.803</v>
      </c>
    </row>
    <row r="31" spans="1:21" x14ac:dyDescent="0.2">
      <c r="A31" s="47" t="s">
        <v>149</v>
      </c>
      <c r="B31" s="48" t="s">
        <v>236</v>
      </c>
      <c r="C31" s="47">
        <v>31326.563999999998</v>
      </c>
      <c r="D31" s="8"/>
      <c r="E31" s="1">
        <f t="shared" si="0"/>
        <v>1467.4836804429083</v>
      </c>
      <c r="F31" s="1">
        <f t="shared" si="1"/>
        <v>1467.5</v>
      </c>
      <c r="G31" s="1">
        <f t="shared" si="4"/>
        <v>-3.2295000000885921E-2</v>
      </c>
      <c r="H31" s="1">
        <f t="shared" si="5"/>
        <v>-3.2295000000885921E-2</v>
      </c>
      <c r="O31" s="1">
        <f t="shared" ca="1" si="2"/>
        <v>5.5239370237966587E-2</v>
      </c>
      <c r="Q31" s="67">
        <f t="shared" si="3"/>
        <v>16308.063999999998</v>
      </c>
    </row>
    <row r="32" spans="1:21" x14ac:dyDescent="0.2">
      <c r="A32" s="47" t="s">
        <v>149</v>
      </c>
      <c r="B32" s="48" t="s">
        <v>235</v>
      </c>
      <c r="C32" s="47">
        <v>31329.572</v>
      </c>
      <c r="D32" s="8"/>
      <c r="E32" s="1">
        <f t="shared" si="0"/>
        <v>1469.0037060731286</v>
      </c>
      <c r="F32" s="1">
        <f t="shared" si="1"/>
        <v>1469</v>
      </c>
      <c r="G32" s="1">
        <f t="shared" si="4"/>
        <v>7.3339999980817083E-3</v>
      </c>
      <c r="H32" s="1">
        <f t="shared" si="5"/>
        <v>7.3339999980817083E-3</v>
      </c>
      <c r="O32" s="1">
        <f t="shared" ca="1" si="2"/>
        <v>5.5228880633369684E-2</v>
      </c>
      <c r="Q32" s="67">
        <f t="shared" si="3"/>
        <v>16311.072</v>
      </c>
    </row>
    <row r="33" spans="1:17" x14ac:dyDescent="0.2">
      <c r="A33" s="47" t="s">
        <v>149</v>
      </c>
      <c r="B33" s="48" t="s">
        <v>236</v>
      </c>
      <c r="C33" s="47">
        <v>31443.350999999999</v>
      </c>
      <c r="E33" s="1">
        <f t="shared" si="0"/>
        <v>1526.4993829949142</v>
      </c>
      <c r="F33" s="1">
        <f t="shared" si="1"/>
        <v>1526.5</v>
      </c>
      <c r="G33" s="1">
        <f t="shared" si="4"/>
        <v>-1.2210000022605527E-3</v>
      </c>
      <c r="H33" s="1">
        <f t="shared" si="5"/>
        <v>-1.2210000022605527E-3</v>
      </c>
      <c r="O33" s="1">
        <f t="shared" ca="1" si="2"/>
        <v>5.4826779123821667E-2</v>
      </c>
      <c r="Q33" s="67">
        <f t="shared" si="3"/>
        <v>16424.850999999999</v>
      </c>
    </row>
    <row r="34" spans="1:17" x14ac:dyDescent="0.2">
      <c r="A34" s="47" t="s">
        <v>149</v>
      </c>
      <c r="B34" s="48" t="s">
        <v>235</v>
      </c>
      <c r="C34" s="47">
        <v>35748.483</v>
      </c>
      <c r="E34" s="1">
        <f t="shared" si="0"/>
        <v>3702.0017039649015</v>
      </c>
      <c r="F34" s="1">
        <f t="shared" si="1"/>
        <v>3702</v>
      </c>
      <c r="G34" s="1">
        <f t="shared" si="4"/>
        <v>3.3719999992172234E-3</v>
      </c>
      <c r="H34" s="1">
        <f t="shared" si="5"/>
        <v>3.3719999992172234E-3</v>
      </c>
      <c r="O34" s="1">
        <f t="shared" ca="1" si="2"/>
        <v>3.961335592344406E-2</v>
      </c>
      <c r="Q34" s="67">
        <f t="shared" si="3"/>
        <v>20729.983</v>
      </c>
    </row>
    <row r="35" spans="1:17" x14ac:dyDescent="0.2">
      <c r="A35" s="47" t="s">
        <v>149</v>
      </c>
      <c r="B35" s="48" t="s">
        <v>235</v>
      </c>
      <c r="C35" s="47">
        <v>35861.279999999999</v>
      </c>
      <c r="E35" s="1">
        <f t="shared" si="0"/>
        <v>3759.0011491151195</v>
      </c>
      <c r="F35" s="1">
        <f t="shared" si="1"/>
        <v>3759</v>
      </c>
      <c r="G35" s="1">
        <f t="shared" si="4"/>
        <v>2.2739999985788018E-3</v>
      </c>
      <c r="H35" s="1">
        <f t="shared" si="5"/>
        <v>2.2739999985788018E-3</v>
      </c>
      <c r="O35" s="1">
        <f t="shared" ca="1" si="2"/>
        <v>3.9214750948761673E-2</v>
      </c>
      <c r="Q35" s="67">
        <f t="shared" si="3"/>
        <v>20842.78</v>
      </c>
    </row>
    <row r="36" spans="1:17" x14ac:dyDescent="0.2">
      <c r="A36" s="47" t="s">
        <v>149</v>
      </c>
      <c r="B36" s="48" t="s">
        <v>235</v>
      </c>
      <c r="C36" s="47">
        <v>37903.542000000001</v>
      </c>
      <c r="E36" s="1">
        <f t="shared" si="0"/>
        <v>4791.0126463302604</v>
      </c>
      <c r="F36" s="1">
        <f t="shared" si="1"/>
        <v>4791</v>
      </c>
      <c r="G36" s="1">
        <f t="shared" si="4"/>
        <v>2.5026000002981164E-2</v>
      </c>
      <c r="H36" s="1">
        <f t="shared" si="5"/>
        <v>2.5026000002981164E-2</v>
      </c>
      <c r="O36" s="1">
        <f t="shared" ca="1" si="2"/>
        <v>3.1997902986091162E-2</v>
      </c>
      <c r="Q36" s="67">
        <f t="shared" si="3"/>
        <v>22885.042000000001</v>
      </c>
    </row>
    <row r="37" spans="1:17" x14ac:dyDescent="0.2">
      <c r="A37" s="47" t="s">
        <v>149</v>
      </c>
      <c r="B37" s="48" t="s">
        <v>235</v>
      </c>
      <c r="C37" s="47">
        <v>38113.317000000003</v>
      </c>
      <c r="E37" s="1">
        <f t="shared" si="0"/>
        <v>4897.0177582249662</v>
      </c>
      <c r="F37" s="1">
        <f t="shared" si="1"/>
        <v>4897</v>
      </c>
      <c r="G37" s="1">
        <f t="shared" si="4"/>
        <v>3.5142000000632834E-2</v>
      </c>
      <c r="H37" s="1">
        <f t="shared" si="5"/>
        <v>3.5142000000632834E-2</v>
      </c>
      <c r="O37" s="1">
        <f t="shared" ca="1" si="2"/>
        <v>3.1256637594576558E-2</v>
      </c>
      <c r="Q37" s="67">
        <f t="shared" si="3"/>
        <v>23094.817000000003</v>
      </c>
    </row>
    <row r="38" spans="1:17" x14ac:dyDescent="0.2">
      <c r="A38" s="47" t="s">
        <v>149</v>
      </c>
      <c r="B38" s="48" t="s">
        <v>236</v>
      </c>
      <c r="C38" s="47">
        <v>38272.574999999997</v>
      </c>
      <c r="E38" s="1">
        <f t="shared" si="0"/>
        <v>4977.4952322334348</v>
      </c>
      <c r="F38" s="1">
        <f t="shared" si="1"/>
        <v>4977.5</v>
      </c>
      <c r="G38" s="1">
        <f t="shared" si="4"/>
        <v>-9.434999999939464E-3</v>
      </c>
      <c r="H38" s="1">
        <f t="shared" si="5"/>
        <v>-9.434999999939464E-3</v>
      </c>
      <c r="O38" s="1">
        <f t="shared" ca="1" si="2"/>
        <v>3.0693695481209329E-2</v>
      </c>
      <c r="Q38" s="67">
        <f t="shared" si="3"/>
        <v>23254.074999999997</v>
      </c>
    </row>
    <row r="39" spans="1:17" x14ac:dyDescent="0.2">
      <c r="A39" s="47" t="s">
        <v>149</v>
      </c>
      <c r="B39" s="48" t="s">
        <v>236</v>
      </c>
      <c r="C39" s="47">
        <v>38373.525999999998</v>
      </c>
      <c r="E39" s="1">
        <f t="shared" si="0"/>
        <v>5028.5085658093258</v>
      </c>
      <c r="F39" s="1">
        <f t="shared" si="1"/>
        <v>5028.5</v>
      </c>
      <c r="G39" s="1">
        <f t="shared" si="4"/>
        <v>1.695099999778904E-2</v>
      </c>
      <c r="H39" s="1">
        <f t="shared" si="5"/>
        <v>1.695099999778904E-2</v>
      </c>
      <c r="O39" s="1">
        <f t="shared" ca="1" si="2"/>
        <v>3.0337048924914567E-2</v>
      </c>
      <c r="Q39" s="67">
        <f t="shared" si="3"/>
        <v>23355.025999999998</v>
      </c>
    </row>
    <row r="40" spans="1:17" x14ac:dyDescent="0.2">
      <c r="A40" s="47" t="s">
        <v>149</v>
      </c>
      <c r="B40" s="48" t="s">
        <v>235</v>
      </c>
      <c r="C40" s="47">
        <v>38384.425000000003</v>
      </c>
      <c r="E40" s="1">
        <f t="shared" si="0"/>
        <v>5034.0161320805255</v>
      </c>
      <c r="F40" s="1">
        <f t="shared" si="1"/>
        <v>5034</v>
      </c>
      <c r="G40" s="1">
        <f t="shared" si="4"/>
        <v>3.1924000002618413E-2</v>
      </c>
      <c r="H40" s="1">
        <f t="shared" si="5"/>
        <v>3.1924000002618413E-2</v>
      </c>
      <c r="O40" s="1">
        <f t="shared" ca="1" si="2"/>
        <v>3.0298587041392586E-2</v>
      </c>
      <c r="Q40" s="67">
        <f t="shared" si="3"/>
        <v>23365.925000000003</v>
      </c>
    </row>
    <row r="41" spans="1:17" x14ac:dyDescent="0.2">
      <c r="A41" s="47" t="s">
        <v>149</v>
      </c>
      <c r="B41" s="48" t="s">
        <v>236</v>
      </c>
      <c r="C41" s="47">
        <v>38385.375999999997</v>
      </c>
      <c r="E41" s="1">
        <f t="shared" si="0"/>
        <v>5034.4966986943318</v>
      </c>
      <c r="F41" s="1">
        <f t="shared" si="1"/>
        <v>5034.5</v>
      </c>
      <c r="G41" s="1">
        <f t="shared" si="4"/>
        <v>-6.533000007038936E-3</v>
      </c>
      <c r="H41" s="1">
        <f t="shared" si="5"/>
        <v>-6.533000007038936E-3</v>
      </c>
      <c r="O41" s="1">
        <f t="shared" ca="1" si="2"/>
        <v>3.0295090506526949E-2</v>
      </c>
      <c r="Q41" s="67">
        <f t="shared" si="3"/>
        <v>23366.875999999997</v>
      </c>
    </row>
    <row r="42" spans="1:17" x14ac:dyDescent="0.2">
      <c r="A42" s="47" t="s">
        <v>149</v>
      </c>
      <c r="B42" s="48" t="s">
        <v>235</v>
      </c>
      <c r="C42" s="47">
        <v>38398.267</v>
      </c>
      <c r="E42" s="1">
        <f t="shared" si="0"/>
        <v>5041.0108776834159</v>
      </c>
      <c r="F42" s="1">
        <f t="shared" si="1"/>
        <v>5041</v>
      </c>
      <c r="G42" s="1">
        <f t="shared" si="4"/>
        <v>2.1525999996811152E-2</v>
      </c>
      <c r="H42" s="1">
        <f t="shared" si="5"/>
        <v>2.1525999996811152E-2</v>
      </c>
      <c r="O42" s="1">
        <f t="shared" ca="1" si="2"/>
        <v>3.0249635553273695E-2</v>
      </c>
      <c r="Q42" s="67">
        <f t="shared" si="3"/>
        <v>23379.767</v>
      </c>
    </row>
    <row r="43" spans="1:17" x14ac:dyDescent="0.2">
      <c r="A43" s="47" t="s">
        <v>149</v>
      </c>
      <c r="B43" s="48" t="s">
        <v>236</v>
      </c>
      <c r="C43" s="47">
        <v>38399.233</v>
      </c>
      <c r="E43" s="1">
        <f t="shared" si="0"/>
        <v>5041.4990242122694</v>
      </c>
      <c r="F43" s="1">
        <f t="shared" si="1"/>
        <v>5041.5</v>
      </c>
      <c r="G43" s="1">
        <f t="shared" si="4"/>
        <v>-1.9309999988763593E-3</v>
      </c>
      <c r="H43" s="1">
        <f t="shared" si="5"/>
        <v>-1.9309999988763593E-3</v>
      </c>
      <c r="O43" s="1">
        <f t="shared" ca="1" si="2"/>
        <v>3.0246139018408058E-2</v>
      </c>
      <c r="Q43" s="67">
        <f t="shared" si="3"/>
        <v>23380.733</v>
      </c>
    </row>
    <row r="44" spans="1:17" x14ac:dyDescent="0.2">
      <c r="A44" s="47" t="s">
        <v>149</v>
      </c>
      <c r="B44" s="48" t="s">
        <v>235</v>
      </c>
      <c r="C44" s="47">
        <v>38643.603999999999</v>
      </c>
      <c r="E44" s="1">
        <f t="shared" si="0"/>
        <v>5164.9864521651762</v>
      </c>
      <c r="F44" s="1">
        <f t="shared" si="1"/>
        <v>5165</v>
      </c>
      <c r="G44" s="1">
        <f t="shared" si="4"/>
        <v>-2.681000000302447E-2</v>
      </c>
      <c r="H44" s="1">
        <f t="shared" si="5"/>
        <v>-2.681000000302447E-2</v>
      </c>
      <c r="O44" s="1">
        <f t="shared" ca="1" si="2"/>
        <v>2.9382494906596231E-2</v>
      </c>
      <c r="Q44" s="67">
        <f t="shared" si="3"/>
        <v>23625.103999999999</v>
      </c>
    </row>
    <row r="45" spans="1:17" x14ac:dyDescent="0.2">
      <c r="A45" s="47" t="s">
        <v>149</v>
      </c>
      <c r="B45" s="48" t="s">
        <v>236</v>
      </c>
      <c r="C45" s="47">
        <v>38652.550999999999</v>
      </c>
      <c r="E45" s="1">
        <f t="shared" si="0"/>
        <v>5169.5076188252742</v>
      </c>
      <c r="F45" s="1">
        <f t="shared" si="1"/>
        <v>5169.5</v>
      </c>
      <c r="G45" s="1">
        <f t="shared" si="4"/>
        <v>1.5076999996381346E-2</v>
      </c>
      <c r="H45" s="1">
        <f t="shared" si="5"/>
        <v>1.5076999996381346E-2</v>
      </c>
      <c r="O45" s="1">
        <f t="shared" ca="1" si="2"/>
        <v>2.9351026092805516E-2</v>
      </c>
      <c r="Q45" s="67">
        <f t="shared" si="3"/>
        <v>23634.050999999999</v>
      </c>
    </row>
    <row r="46" spans="1:17" x14ac:dyDescent="0.2">
      <c r="A46" s="47" t="s">
        <v>149</v>
      </c>
      <c r="B46" s="48" t="s">
        <v>236</v>
      </c>
      <c r="C46" s="47">
        <v>39026.535000000003</v>
      </c>
      <c r="E46" s="1">
        <f t="shared" si="0"/>
        <v>5358.4920820207462</v>
      </c>
      <c r="F46" s="1">
        <f t="shared" si="1"/>
        <v>5358.5</v>
      </c>
      <c r="G46" s="1">
        <f t="shared" si="4"/>
        <v>-1.5669000000343658E-2</v>
      </c>
      <c r="H46" s="1">
        <f t="shared" si="5"/>
        <v>-1.5669000000343658E-2</v>
      </c>
      <c r="O46" s="1">
        <f t="shared" ca="1" si="2"/>
        <v>2.8029335913595507E-2</v>
      </c>
      <c r="Q46" s="67">
        <f t="shared" si="3"/>
        <v>24008.035000000003</v>
      </c>
    </row>
    <row r="47" spans="1:17" x14ac:dyDescent="0.2">
      <c r="A47" s="47" t="s">
        <v>149</v>
      </c>
      <c r="B47" s="48" t="s">
        <v>236</v>
      </c>
      <c r="C47" s="47">
        <v>39028.512999999999</v>
      </c>
      <c r="E47" s="1">
        <f t="shared" si="0"/>
        <v>5359.4916201512533</v>
      </c>
      <c r="F47" s="1">
        <f t="shared" si="1"/>
        <v>5359.5</v>
      </c>
      <c r="G47" s="1">
        <f t="shared" si="4"/>
        <v>-1.6583000004175119E-2</v>
      </c>
      <c r="H47" s="1">
        <f t="shared" si="5"/>
        <v>-1.6583000004175119E-2</v>
      </c>
      <c r="O47" s="1">
        <f t="shared" ca="1" si="2"/>
        <v>2.8022342843864241E-2</v>
      </c>
      <c r="Q47" s="67">
        <f t="shared" si="3"/>
        <v>24010.012999999999</v>
      </c>
    </row>
    <row r="48" spans="1:17" x14ac:dyDescent="0.2">
      <c r="A48" s="49" t="s">
        <v>35</v>
      </c>
      <c r="B48" s="49"/>
      <c r="C48" s="50">
        <v>49630.552100000001</v>
      </c>
      <c r="D48" s="50"/>
      <c r="E48" s="1">
        <f t="shared" si="0"/>
        <v>10716.995331782988</v>
      </c>
      <c r="F48" s="1">
        <f t="shared" si="1"/>
        <v>10717</v>
      </c>
      <c r="G48" s="1">
        <f t="shared" si="4"/>
        <v>-9.2379999987315387E-3</v>
      </c>
      <c r="J48" s="1">
        <f>G48</f>
        <v>-9.2379999987315387E-3</v>
      </c>
      <c r="O48" s="1">
        <f t="shared" ca="1" si="2"/>
        <v>-9.443028241414117E-3</v>
      </c>
      <c r="Q48" s="67">
        <f t="shared" si="3"/>
        <v>34612.052100000001</v>
      </c>
    </row>
    <row r="49" spans="1:21" x14ac:dyDescent="0.2">
      <c r="A49" s="11" t="s">
        <v>36</v>
      </c>
      <c r="B49" s="51" t="s">
        <v>236</v>
      </c>
      <c r="C49" s="11">
        <v>49645.390899999999</v>
      </c>
      <c r="D49" s="11">
        <v>4.0000000000000002E-4</v>
      </c>
      <c r="E49" s="1">
        <f t="shared" si="0"/>
        <v>10724.493788006956</v>
      </c>
      <c r="F49" s="1">
        <f t="shared" si="1"/>
        <v>10724.5</v>
      </c>
      <c r="G49" s="1">
        <f t="shared" si="4"/>
        <v>-1.2293000007048249E-2</v>
      </c>
      <c r="J49" s="1">
        <f>G49</f>
        <v>-1.2293000007048249E-2</v>
      </c>
      <c r="O49" s="1">
        <f t="shared" ca="1" si="2"/>
        <v>-9.4954762643986307E-3</v>
      </c>
      <c r="Q49" s="67">
        <f t="shared" si="3"/>
        <v>34626.890899999999</v>
      </c>
    </row>
    <row r="50" spans="1:21" x14ac:dyDescent="0.2">
      <c r="A50" s="49" t="s">
        <v>36</v>
      </c>
      <c r="B50" s="49"/>
      <c r="C50" s="50">
        <v>50113.406999999999</v>
      </c>
      <c r="D50" s="50"/>
      <c r="E50" s="1">
        <f t="shared" si="0"/>
        <v>10960.995273164977</v>
      </c>
      <c r="F50" s="1">
        <f t="shared" si="1"/>
        <v>10961</v>
      </c>
      <c r="G50" s="1">
        <f t="shared" si="4"/>
        <v>-9.3540000016218983E-3</v>
      </c>
      <c r="J50" s="1">
        <f>G50</f>
        <v>-9.3540000016218983E-3</v>
      </c>
      <c r="O50" s="1">
        <f t="shared" ca="1" si="2"/>
        <v>-1.1149337255843966E-2</v>
      </c>
      <c r="Q50" s="67">
        <f t="shared" si="3"/>
        <v>35094.906999999999</v>
      </c>
    </row>
    <row r="51" spans="1:21" x14ac:dyDescent="0.2">
      <c r="A51" s="11" t="s">
        <v>37</v>
      </c>
      <c r="B51" s="52"/>
      <c r="C51" s="53">
        <v>52278.330300000001</v>
      </c>
      <c r="D51" s="50">
        <v>6.9999999999999999E-4</v>
      </c>
      <c r="E51" s="1">
        <f t="shared" si="0"/>
        <v>12054.990919261776</v>
      </c>
      <c r="F51" s="1">
        <f t="shared" si="1"/>
        <v>12055</v>
      </c>
      <c r="G51" s="1">
        <f t="shared" si="4"/>
        <v>-1.7970000000786968E-2</v>
      </c>
      <c r="J51" s="1">
        <f>G51</f>
        <v>-1.7970000000786968E-2</v>
      </c>
      <c r="O51" s="1">
        <f t="shared" ca="1" si="2"/>
        <v>-1.8799755541853203E-2</v>
      </c>
      <c r="Q51" s="67">
        <f t="shared" si="3"/>
        <v>37259.830300000001</v>
      </c>
    </row>
    <row r="52" spans="1:21" x14ac:dyDescent="0.2">
      <c r="A52" s="54" t="s">
        <v>38</v>
      </c>
      <c r="B52" s="49"/>
      <c r="C52" s="50">
        <v>52885.853300000002</v>
      </c>
      <c r="D52" s="50">
        <v>2.0000000000000001E-4</v>
      </c>
      <c r="E52" s="1">
        <f t="shared" si="0"/>
        <v>12361.989101092822</v>
      </c>
      <c r="F52" s="1">
        <f t="shared" si="1"/>
        <v>12362</v>
      </c>
      <c r="G52" s="1">
        <f t="shared" si="4"/>
        <v>-2.1567999996477738E-2</v>
      </c>
      <c r="K52" s="1">
        <f>G52</f>
        <v>-2.1567999996477738E-2</v>
      </c>
      <c r="O52" s="1">
        <f t="shared" ca="1" si="2"/>
        <v>-2.094662794935305E-2</v>
      </c>
      <c r="Q52" s="67">
        <f t="shared" si="3"/>
        <v>37867.353300000002</v>
      </c>
    </row>
    <row r="53" spans="1:21" x14ac:dyDescent="0.2">
      <c r="A53" s="11" t="s">
        <v>237</v>
      </c>
      <c r="B53" s="51" t="s">
        <v>235</v>
      </c>
      <c r="C53" s="11">
        <v>52913.560100000002</v>
      </c>
      <c r="D53" s="11">
        <v>5.0000000000000001E-4</v>
      </c>
      <c r="E53" s="1">
        <f t="shared" si="0"/>
        <v>12375.990113769472</v>
      </c>
      <c r="F53" s="1">
        <f t="shared" si="1"/>
        <v>12376</v>
      </c>
      <c r="G53" s="1">
        <f t="shared" si="4"/>
        <v>-1.9564000001992099E-2</v>
      </c>
      <c r="J53" s="1">
        <f>G53</f>
        <v>-1.9564000001992099E-2</v>
      </c>
      <c r="O53" s="1">
        <f t="shared" ca="1" si="2"/>
        <v>-2.1044530925590832E-2</v>
      </c>
      <c r="Q53" s="67">
        <f t="shared" si="3"/>
        <v>37895.060100000002</v>
      </c>
    </row>
    <row r="54" spans="1:21" x14ac:dyDescent="0.2">
      <c r="A54" s="55" t="s">
        <v>238</v>
      </c>
      <c r="B54" s="56" t="s">
        <v>236</v>
      </c>
      <c r="C54" s="50">
        <v>53407.296999999999</v>
      </c>
      <c r="D54" s="50">
        <v>5.8999999999999999E-3</v>
      </c>
      <c r="E54" s="1">
        <f t="shared" si="0"/>
        <v>12625.489030852274</v>
      </c>
      <c r="F54" s="1">
        <f t="shared" si="1"/>
        <v>12625.5</v>
      </c>
      <c r="G54" s="1">
        <f t="shared" si="4"/>
        <v>-2.1706999999878462E-2</v>
      </c>
      <c r="J54" s="1">
        <f>G54</f>
        <v>-2.1706999999878462E-2</v>
      </c>
      <c r="O54" s="1">
        <f t="shared" ca="1" si="2"/>
        <v>-2.2789301823542663E-2</v>
      </c>
      <c r="Q54" s="67">
        <f t="shared" si="3"/>
        <v>38388.796999999999</v>
      </c>
    </row>
    <row r="55" spans="1:21" x14ac:dyDescent="0.2">
      <c r="A55" s="55" t="s">
        <v>238</v>
      </c>
      <c r="B55" s="57"/>
      <c r="C55" s="50">
        <v>53410.264999999999</v>
      </c>
      <c r="D55" s="50">
        <v>1.03E-2</v>
      </c>
      <c r="E55" s="1">
        <f t="shared" si="0"/>
        <v>12626.98884337571</v>
      </c>
      <c r="F55" s="1">
        <f t="shared" si="1"/>
        <v>12627</v>
      </c>
      <c r="G55" s="1">
        <f t="shared" si="4"/>
        <v>-2.2078000001783948E-2</v>
      </c>
      <c r="J55" s="1">
        <f>G55</f>
        <v>-2.2078000001783948E-2</v>
      </c>
      <c r="O55" s="1">
        <f t="shared" ca="1" si="2"/>
        <v>-2.2799791428139579E-2</v>
      </c>
      <c r="Q55" s="67">
        <f t="shared" si="3"/>
        <v>38391.764999999999</v>
      </c>
    </row>
    <row r="56" spans="1:21" x14ac:dyDescent="0.2">
      <c r="A56" s="58" t="s">
        <v>239</v>
      </c>
      <c r="B56" s="59"/>
      <c r="C56" s="50">
        <v>53681.374100000001</v>
      </c>
      <c r="D56" s="50">
        <v>3.5000000000000001E-3</v>
      </c>
      <c r="E56" s="1">
        <f t="shared" si="0"/>
        <v>12763.987773091705</v>
      </c>
      <c r="F56" s="1">
        <f t="shared" si="1"/>
        <v>12764</v>
      </c>
      <c r="G56" s="1">
        <f t="shared" si="4"/>
        <v>-2.4195999998482876E-2</v>
      </c>
      <c r="J56" s="1">
        <f>G56</f>
        <v>-2.4195999998482876E-2</v>
      </c>
      <c r="O56" s="1">
        <f t="shared" ca="1" si="2"/>
        <v>-2.3757841981323552E-2</v>
      </c>
      <c r="Q56" s="67">
        <f t="shared" si="3"/>
        <v>38662.874100000001</v>
      </c>
    </row>
    <row r="57" spans="1:21" x14ac:dyDescent="0.2">
      <c r="A57" s="54" t="s">
        <v>240</v>
      </c>
      <c r="B57" s="49"/>
      <c r="C57" s="50">
        <v>53738.762300000002</v>
      </c>
      <c r="D57" s="50">
        <v>2.9999999999999997E-4</v>
      </c>
      <c r="E57" s="1">
        <f t="shared" si="0"/>
        <v>12792.987618461439</v>
      </c>
      <c r="F57" s="1">
        <f t="shared" si="1"/>
        <v>12793</v>
      </c>
      <c r="G57" s="1">
        <f t="shared" si="4"/>
        <v>-2.450200000021141E-2</v>
      </c>
      <c r="K57" s="1">
        <f>G57</f>
        <v>-2.450200000021141E-2</v>
      </c>
      <c r="O57" s="1">
        <f t="shared" ca="1" si="2"/>
        <v>-2.3960641003530375E-2</v>
      </c>
      <c r="Q57" s="67">
        <f t="shared" si="3"/>
        <v>38720.262300000002</v>
      </c>
    </row>
    <row r="58" spans="1:21" x14ac:dyDescent="0.2">
      <c r="A58" s="11" t="s">
        <v>241</v>
      </c>
      <c r="B58" s="51" t="s">
        <v>235</v>
      </c>
      <c r="C58" s="11">
        <v>54815.287300000004</v>
      </c>
      <c r="D58" s="11">
        <v>2.0000000000000001E-4</v>
      </c>
      <c r="E58" s="1">
        <f t="shared" si="0"/>
        <v>13336.985487999984</v>
      </c>
      <c r="F58" s="1">
        <f t="shared" si="1"/>
        <v>13337</v>
      </c>
      <c r="G58" s="1">
        <f t="shared" si="4"/>
        <v>-2.8717999994114507E-2</v>
      </c>
      <c r="J58" s="1">
        <f>G58</f>
        <v>-2.8717999994114507E-2</v>
      </c>
      <c r="O58" s="1">
        <f t="shared" ca="1" si="2"/>
        <v>-2.7764870937341188E-2</v>
      </c>
      <c r="Q58" s="67">
        <f t="shared" si="3"/>
        <v>39796.787300000004</v>
      </c>
    </row>
    <row r="59" spans="1:21" x14ac:dyDescent="0.2">
      <c r="A59" s="47" t="s">
        <v>218</v>
      </c>
      <c r="B59" s="48" t="s">
        <v>236</v>
      </c>
      <c r="C59" s="47">
        <v>55073.537400000001</v>
      </c>
      <c r="E59" s="1">
        <f t="shared" si="0"/>
        <v>13467.486409212324</v>
      </c>
      <c r="F59" s="1">
        <f t="shared" si="1"/>
        <v>13467.5</v>
      </c>
      <c r="G59" s="1">
        <f t="shared" si="4"/>
        <v>-2.6895000002696179E-2</v>
      </c>
      <c r="K59" s="1">
        <f>G59</f>
        <v>-2.6895000002696179E-2</v>
      </c>
      <c r="O59" s="1">
        <f t="shared" ca="1" si="2"/>
        <v>-2.8677466537271906E-2</v>
      </c>
      <c r="Q59" s="67">
        <f t="shared" si="3"/>
        <v>40055.037400000001</v>
      </c>
    </row>
    <row r="60" spans="1:21" x14ac:dyDescent="0.2">
      <c r="A60" s="47" t="s">
        <v>218</v>
      </c>
      <c r="B60" s="48" t="s">
        <v>235</v>
      </c>
      <c r="C60" s="47">
        <v>55074.523300000001</v>
      </c>
      <c r="E60" s="1">
        <f t="shared" si="0"/>
        <v>13467.984611761804</v>
      </c>
      <c r="F60" s="1">
        <f t="shared" si="1"/>
        <v>13468</v>
      </c>
      <c r="G60" s="1">
        <f t="shared" si="4"/>
        <v>-3.0452000006334856E-2</v>
      </c>
      <c r="K60" s="1">
        <f>G60</f>
        <v>-3.0452000006334856E-2</v>
      </c>
      <c r="O60" s="1">
        <f t="shared" ca="1" si="2"/>
        <v>-2.8680963072137536E-2</v>
      </c>
      <c r="Q60" s="67">
        <f t="shared" si="3"/>
        <v>40056.023300000001</v>
      </c>
    </row>
    <row r="61" spans="1:21" x14ac:dyDescent="0.2">
      <c r="A61" s="11" t="s">
        <v>242</v>
      </c>
      <c r="B61" s="51" t="s">
        <v>235</v>
      </c>
      <c r="C61" s="11">
        <v>55254.6057</v>
      </c>
      <c r="D61" s="11">
        <v>2.0000000000000001E-4</v>
      </c>
      <c r="E61" s="1">
        <f t="shared" si="0"/>
        <v>13558.985231293527</v>
      </c>
      <c r="F61" s="1">
        <f t="shared" si="1"/>
        <v>13559</v>
      </c>
      <c r="G61" s="1">
        <f t="shared" si="4"/>
        <v>-2.9225999998743646E-2</v>
      </c>
      <c r="K61" s="1">
        <f>G61</f>
        <v>-2.9225999998743646E-2</v>
      </c>
      <c r="O61" s="1">
        <f t="shared" ca="1" si="2"/>
        <v>-2.9317332417683098E-2</v>
      </c>
      <c r="Q61" s="67">
        <f t="shared" si="3"/>
        <v>40236.1057</v>
      </c>
    </row>
    <row r="62" spans="1:21" x14ac:dyDescent="0.2">
      <c r="A62" s="58" t="s">
        <v>243</v>
      </c>
      <c r="B62" s="56" t="s">
        <v>236</v>
      </c>
      <c r="C62" s="50">
        <v>55819.588309999999</v>
      </c>
      <c r="D62" s="50">
        <v>2.0000000000000001E-4</v>
      </c>
      <c r="E62" s="49">
        <f t="shared" si="0"/>
        <v>13844.486576981111</v>
      </c>
      <c r="F62" s="1">
        <f t="shared" si="1"/>
        <v>13844.5</v>
      </c>
      <c r="O62" s="1">
        <f t="shared" ca="1" si="2"/>
        <v>-3.131385382596065E-2</v>
      </c>
      <c r="Q62" s="67">
        <f t="shared" si="3"/>
        <v>40801.088309999999</v>
      </c>
      <c r="U62" s="1">
        <f>+C62-(C$7+F62*C$8)</f>
        <v>-2.6562999999441672E-2</v>
      </c>
    </row>
    <row r="63" spans="1:21" x14ac:dyDescent="0.2">
      <c r="A63" s="60" t="s">
        <v>244</v>
      </c>
      <c r="B63" s="56"/>
      <c r="C63" s="60">
        <v>56957.459600000002</v>
      </c>
      <c r="D63" s="60">
        <v>8.0000000000000004E-4</v>
      </c>
      <c r="E63" s="49">
        <f t="shared" si="0"/>
        <v>14419.48442428524</v>
      </c>
      <c r="F63" s="1">
        <f t="shared" si="1"/>
        <v>14419.5</v>
      </c>
      <c r="O63" s="1">
        <f t="shared" ca="1" si="2"/>
        <v>-3.5334868921440818E-2</v>
      </c>
      <c r="Q63" s="67">
        <f t="shared" si="3"/>
        <v>41938.959600000002</v>
      </c>
      <c r="U63" s="1">
        <f>+C63-(C$7+F63*C$8)</f>
        <v>-3.0823000000964385E-2</v>
      </c>
    </row>
    <row r="64" spans="1:21" x14ac:dyDescent="0.2">
      <c r="A64" s="61" t="s">
        <v>245</v>
      </c>
      <c r="B64" s="62" t="s">
        <v>235</v>
      </c>
      <c r="C64" s="63">
        <v>56958.443180000002</v>
      </c>
      <c r="D64" s="63">
        <v>2.9999999999999997E-4</v>
      </c>
      <c r="E64" s="1">
        <f>+(C64-C$7)/C$8</f>
        <v>14419.981454474526</v>
      </c>
      <c r="F64" s="1">
        <f t="shared" si="1"/>
        <v>14420</v>
      </c>
      <c r="G64" s="1">
        <f>+C64-(C$7+F64*C$8)</f>
        <v>-3.6699999996926636E-2</v>
      </c>
      <c r="K64" s="1">
        <f>G64</f>
        <v>-3.6699999996926636E-2</v>
      </c>
      <c r="O64" s="1">
        <f ca="1">+C$11+C$12*F64</f>
        <v>-3.5338365456306461E-2</v>
      </c>
      <c r="Q64" s="67">
        <f>+C64-15018.5</f>
        <v>41939.943180000002</v>
      </c>
    </row>
    <row r="65" spans="1:17" x14ac:dyDescent="0.2">
      <c r="A65" s="64" t="s">
        <v>246</v>
      </c>
      <c r="B65" s="65" t="s">
        <v>235</v>
      </c>
      <c r="C65" s="66">
        <v>57720.324440000113</v>
      </c>
      <c r="D65" s="66">
        <v>2.9999999999999997E-4</v>
      </c>
      <c r="E65" s="1">
        <f>+(C65-C$7)/C$8</f>
        <v>14804.981136118149</v>
      </c>
      <c r="F65" s="1">
        <f>ROUND(2*E65,0)/2</f>
        <v>14805</v>
      </c>
      <c r="G65" s="1">
        <f>+C65-(C$7+F65*C$8)</f>
        <v>-3.7329999890062027E-2</v>
      </c>
      <c r="K65" s="1">
        <f>G65</f>
        <v>-3.7329999890062027E-2</v>
      </c>
      <c r="O65" s="1">
        <f ca="1">+C$11+C$12*F65</f>
        <v>-3.8030697302845362E-2</v>
      </c>
      <c r="Q65" s="67">
        <f>+C65-15018.5</f>
        <v>42701.824440000113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 x14ac:dyDescent="0.3">
      <c r="A1" s="2" t="s">
        <v>0</v>
      </c>
      <c r="C1" s="3" t="s">
        <v>1</v>
      </c>
    </row>
    <row r="2" spans="1:4" x14ac:dyDescent="0.2">
      <c r="A2" s="1" t="s">
        <v>2</v>
      </c>
      <c r="B2" s="1" t="s">
        <v>3</v>
      </c>
    </row>
    <row r="4" spans="1:4" x14ac:dyDescent="0.2">
      <c r="A4" s="4" t="s">
        <v>4</v>
      </c>
      <c r="C4" s="5">
        <v>28422.54</v>
      </c>
      <c r="D4" s="6">
        <v>1.9789140000000001</v>
      </c>
    </row>
    <row r="6" spans="1:4" x14ac:dyDescent="0.2">
      <c r="A6" s="4" t="s">
        <v>5</v>
      </c>
    </row>
    <row r="7" spans="1:4" x14ac:dyDescent="0.2">
      <c r="A7" s="1" t="s">
        <v>6</v>
      </c>
      <c r="C7" s="1">
        <f>+C4</f>
        <v>28422.54</v>
      </c>
    </row>
    <row r="8" spans="1:4" x14ac:dyDescent="0.2">
      <c r="A8" s="1" t="s">
        <v>7</v>
      </c>
      <c r="C8" s="1">
        <f>+D4</f>
        <v>1.9789140000000001</v>
      </c>
    </row>
    <row r="10" spans="1:4" x14ac:dyDescent="0.2">
      <c r="C10" s="7" t="s">
        <v>8</v>
      </c>
      <c r="D10" s="7" t="s">
        <v>9</v>
      </c>
    </row>
    <row r="11" spans="1:4" x14ac:dyDescent="0.2">
      <c r="A11" s="1" t="s">
        <v>10</v>
      </c>
      <c r="C11" s="1">
        <f>INTERCEPT(G21:G26,F21:F26)</f>
        <v>1.1431398992568769E-3</v>
      </c>
      <c r="D11" s="8"/>
    </row>
    <row r="12" spans="1:4" x14ac:dyDescent="0.2">
      <c r="A12" s="1" t="s">
        <v>11</v>
      </c>
      <c r="C12" s="1">
        <f>SLOPE(G21:G26,F21:F26)</f>
        <v>-1.3601288184550666E-6</v>
      </c>
      <c r="D12" s="8"/>
    </row>
    <row r="13" spans="1:4" x14ac:dyDescent="0.2">
      <c r="A13" s="1" t="s">
        <v>12</v>
      </c>
      <c r="C13" s="8" t="s">
        <v>13</v>
      </c>
      <c r="D13" s="8"/>
    </row>
    <row r="14" spans="1:4" x14ac:dyDescent="0.2">
      <c r="A14" s="1" t="s">
        <v>14</v>
      </c>
    </row>
    <row r="15" spans="1:4" x14ac:dyDescent="0.2">
      <c r="A15" s="4" t="s">
        <v>15</v>
      </c>
      <c r="C15" s="1">
        <v>52885.853300000002</v>
      </c>
    </row>
    <row r="16" spans="1:4" x14ac:dyDescent="0.2">
      <c r="A16" s="4" t="s">
        <v>16</v>
      </c>
      <c r="C16" s="1">
        <f>+C8+C12</f>
        <v>1.9789126398711816</v>
      </c>
    </row>
    <row r="18" spans="1:17" x14ac:dyDescent="0.2">
      <c r="A18" s="4" t="s">
        <v>17</v>
      </c>
      <c r="C18" s="5">
        <f>+C15</f>
        <v>52885.853300000002</v>
      </c>
      <c r="D18" s="6">
        <f>+C16</f>
        <v>1.9789126398711816</v>
      </c>
    </row>
    <row r="20" spans="1:17" x14ac:dyDescent="0.2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9" t="s">
        <v>25</v>
      </c>
      <c r="I20" s="9" t="s">
        <v>26</v>
      </c>
      <c r="J20" s="9" t="s">
        <v>27</v>
      </c>
      <c r="K20" s="9" t="s">
        <v>28</v>
      </c>
      <c r="L20" s="9" t="s">
        <v>29</v>
      </c>
      <c r="M20" s="9" t="s">
        <v>30</v>
      </c>
      <c r="N20" s="9" t="s">
        <v>31</v>
      </c>
      <c r="O20" s="9" t="s">
        <v>32</v>
      </c>
      <c r="P20" s="9" t="s">
        <v>33</v>
      </c>
      <c r="Q20" s="7" t="s">
        <v>34</v>
      </c>
    </row>
    <row r="21" spans="1:17" x14ac:dyDescent="0.2">
      <c r="A21" s="1" t="s">
        <v>25</v>
      </c>
      <c r="C21" s="1">
        <v>28422.54</v>
      </c>
      <c r="D21" s="8" t="s">
        <v>13</v>
      </c>
      <c r="E21" s="1">
        <f t="shared" ref="E21:E26" si="0">+(C21-C$7)/C$8</f>
        <v>0</v>
      </c>
      <c r="F21" s="1">
        <f t="shared" ref="F21:F26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6" si="3">+C$11+C$12*F21</f>
        <v>1.1431398992568769E-3</v>
      </c>
      <c r="Q21" s="10">
        <f t="shared" ref="Q21:Q26" si="4">+C21-15018.5</f>
        <v>13404.04</v>
      </c>
    </row>
    <row r="22" spans="1:17" x14ac:dyDescent="0.2">
      <c r="A22" s="1" t="s">
        <v>35</v>
      </c>
      <c r="C22" s="1">
        <v>49630.552100000001</v>
      </c>
      <c r="D22" s="8"/>
      <c r="E22" s="1">
        <f t="shared" si="0"/>
        <v>10716.995331782988</v>
      </c>
      <c r="F22" s="1">
        <f t="shared" si="1"/>
        <v>10717</v>
      </c>
      <c r="G22" s="1">
        <f t="shared" si="2"/>
        <v>-9.2379999987315387E-3</v>
      </c>
      <c r="I22" s="1">
        <f>+G22</f>
        <v>-9.2379999987315387E-3</v>
      </c>
      <c r="O22" s="1">
        <f t="shared" si="3"/>
        <v>-1.3433360648126072E-2</v>
      </c>
      <c r="Q22" s="10">
        <f t="shared" si="4"/>
        <v>34612.052100000001</v>
      </c>
    </row>
    <row r="23" spans="1:17" x14ac:dyDescent="0.2">
      <c r="A23" s="1" t="s">
        <v>36</v>
      </c>
      <c r="C23" s="1">
        <v>49645.390899999999</v>
      </c>
      <c r="D23" s="8"/>
      <c r="E23" s="1">
        <f t="shared" si="0"/>
        <v>10724.493788006956</v>
      </c>
      <c r="F23" s="1">
        <f t="shared" si="1"/>
        <v>10724.5</v>
      </c>
      <c r="G23" s="1">
        <f t="shared" si="2"/>
        <v>-1.2293000007048249E-2</v>
      </c>
      <c r="I23" s="1">
        <f>+G23</f>
        <v>-1.2293000007048249E-2</v>
      </c>
      <c r="O23" s="1">
        <f t="shared" si="3"/>
        <v>-1.3443561614264484E-2</v>
      </c>
      <c r="Q23" s="10">
        <f t="shared" si="4"/>
        <v>34626.890899999999</v>
      </c>
    </row>
    <row r="24" spans="1:17" x14ac:dyDescent="0.2">
      <c r="A24" s="1" t="s">
        <v>36</v>
      </c>
      <c r="C24" s="1">
        <v>50113.406999999999</v>
      </c>
      <c r="D24" s="8"/>
      <c r="E24" s="1">
        <f t="shared" si="0"/>
        <v>10960.995273164977</v>
      </c>
      <c r="F24" s="1">
        <f t="shared" si="1"/>
        <v>10961</v>
      </c>
      <c r="G24" s="1">
        <f t="shared" si="2"/>
        <v>-9.3540000016218983E-3</v>
      </c>
      <c r="I24" s="1">
        <f>+G24</f>
        <v>-9.3540000016218983E-3</v>
      </c>
      <c r="O24" s="1">
        <f t="shared" si="3"/>
        <v>-1.3765232079829107E-2</v>
      </c>
      <c r="Q24" s="10">
        <f t="shared" si="4"/>
        <v>35094.906999999999</v>
      </c>
    </row>
    <row r="25" spans="1:17" x14ac:dyDescent="0.2">
      <c r="A25" s="11" t="s">
        <v>37</v>
      </c>
      <c r="B25" s="12"/>
      <c r="C25" s="13">
        <v>52278.330300000001</v>
      </c>
      <c r="D25" s="8"/>
      <c r="E25" s="1">
        <f t="shared" si="0"/>
        <v>12054.990919261776</v>
      </c>
      <c r="F25" s="1">
        <f t="shared" si="1"/>
        <v>12055</v>
      </c>
      <c r="G25" s="1">
        <f t="shared" si="2"/>
        <v>-1.7970000000786968E-2</v>
      </c>
      <c r="I25" s="1">
        <f>G25</f>
        <v>-1.7970000000786968E-2</v>
      </c>
      <c r="O25" s="1">
        <f t="shared" si="3"/>
        <v>-1.5253213007218951E-2</v>
      </c>
      <c r="Q25" s="10">
        <f t="shared" si="4"/>
        <v>37259.830300000001</v>
      </c>
    </row>
    <row r="26" spans="1:17" x14ac:dyDescent="0.2">
      <c r="A26" s="4" t="s">
        <v>38</v>
      </c>
      <c r="C26" s="1">
        <v>52885.853300000002</v>
      </c>
      <c r="D26" s="8">
        <v>2.0000000000000001E-4</v>
      </c>
      <c r="E26" s="1">
        <f t="shared" si="0"/>
        <v>12361.989101092822</v>
      </c>
      <c r="F26" s="1">
        <f t="shared" si="1"/>
        <v>12362</v>
      </c>
      <c r="G26" s="1">
        <f t="shared" si="2"/>
        <v>-2.1567999996477738E-2</v>
      </c>
      <c r="J26" s="1">
        <f>G26</f>
        <v>-2.1567999996477738E-2</v>
      </c>
      <c r="O26" s="1">
        <f t="shared" si="3"/>
        <v>-1.5670772554484659E-2</v>
      </c>
      <c r="Q26" s="10">
        <f t="shared" si="4"/>
        <v>37867.353300000002</v>
      </c>
    </row>
  </sheetData>
  <sheetProtection sheet="1" objects="1" scenarios="1"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16" workbookViewId="0">
      <selection activeCell="A25" sqref="A25"/>
    </sheetView>
  </sheetViews>
  <sheetFormatPr defaultRowHeight="12.75" x14ac:dyDescent="0.2"/>
  <cols>
    <col min="1" max="1" width="19.7109375" style="14" customWidth="1"/>
    <col min="2" max="2" width="4.42578125" customWidth="1"/>
    <col min="3" max="3" width="12.7109375" style="14" customWidth="1"/>
    <col min="4" max="4" width="5.42578125" customWidth="1"/>
    <col min="5" max="5" width="14.85546875" customWidth="1"/>
    <col min="7" max="7" width="12" customWidth="1"/>
    <col min="8" max="8" width="14.140625" style="1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5" t="s">
        <v>39</v>
      </c>
      <c r="I1" s="16" t="s">
        <v>40</v>
      </c>
      <c r="J1" s="17" t="s">
        <v>41</v>
      </c>
    </row>
    <row r="2" spans="1:16" x14ac:dyDescent="0.2">
      <c r="I2" s="18" t="s">
        <v>42</v>
      </c>
      <c r="J2" s="19" t="s">
        <v>43</v>
      </c>
    </row>
    <row r="3" spans="1:16" x14ac:dyDescent="0.2">
      <c r="A3" s="20" t="s">
        <v>44</v>
      </c>
      <c r="I3" s="18" t="s">
        <v>45</v>
      </c>
      <c r="J3" s="19" t="s">
        <v>46</v>
      </c>
    </row>
    <row r="4" spans="1:16" x14ac:dyDescent="0.2">
      <c r="I4" s="18" t="s">
        <v>47</v>
      </c>
      <c r="J4" s="19" t="s">
        <v>46</v>
      </c>
    </row>
    <row r="5" spans="1:16" x14ac:dyDescent="0.2">
      <c r="I5" s="21" t="s">
        <v>48</v>
      </c>
      <c r="J5" s="22" t="s">
        <v>49</v>
      </c>
    </row>
    <row r="11" spans="1:16" ht="12.75" customHeight="1" x14ac:dyDescent="0.2">
      <c r="A11" s="14" t="str">
        <f t="shared" ref="A11:A52" si="0">P11</f>
        <v>BAVM 80 </v>
      </c>
      <c r="B11" s="8" t="str">
        <f t="shared" ref="B11:B52" si="1">IF(H11=INT(H11),"I","II")</f>
        <v>I</v>
      </c>
      <c r="C11" s="14">
        <f t="shared" ref="C11:C52" si="2">1*G11</f>
        <v>49630.552100000001</v>
      </c>
      <c r="D11" t="str">
        <f t="shared" ref="D11:D52" si="3">VLOOKUP(F11,I$1:J$5,2,FALSE)</f>
        <v>vis</v>
      </c>
      <c r="E11">
        <f>VLOOKUP(C11,Active!C$21:E$973,3,FALSE)</f>
        <v>10716.995331782988</v>
      </c>
      <c r="F11" s="8" t="s">
        <v>48</v>
      </c>
      <c r="G11" t="str">
        <f t="shared" ref="G11:G52" si="4">MID(I11,3,LEN(I11)-3)</f>
        <v>49630.5521</v>
      </c>
      <c r="H11" s="14">
        <f t="shared" ref="H11:H52" si="5">1*K11</f>
        <v>10717</v>
      </c>
      <c r="I11" s="23" t="s">
        <v>50</v>
      </c>
      <c r="J11" s="24" t="s">
        <v>51</v>
      </c>
      <c r="K11" s="23">
        <v>10717</v>
      </c>
      <c r="L11" s="23" t="s">
        <v>52</v>
      </c>
      <c r="M11" s="24" t="s">
        <v>53</v>
      </c>
      <c r="N11" s="24" t="s">
        <v>54</v>
      </c>
      <c r="O11" s="25" t="s">
        <v>55</v>
      </c>
      <c r="P11" s="26" t="s">
        <v>56</v>
      </c>
    </row>
    <row r="12" spans="1:16" ht="12.75" customHeight="1" x14ac:dyDescent="0.2">
      <c r="A12" s="14" t="str">
        <f t="shared" si="0"/>
        <v>BAVM 91 </v>
      </c>
      <c r="B12" s="8" t="str">
        <f t="shared" si="1"/>
        <v>II</v>
      </c>
      <c r="C12" s="14">
        <f t="shared" si="2"/>
        <v>49645.390899999999</v>
      </c>
      <c r="D12" t="str">
        <f t="shared" si="3"/>
        <v>vis</v>
      </c>
      <c r="E12">
        <f>VLOOKUP(C12,Active!C$21:E$973,3,FALSE)</f>
        <v>10724.493788006956</v>
      </c>
      <c r="F12" s="8" t="s">
        <v>48</v>
      </c>
      <c r="G12" t="str">
        <f t="shared" si="4"/>
        <v>49645.3909</v>
      </c>
      <c r="H12" s="14">
        <f t="shared" si="5"/>
        <v>10724.5</v>
      </c>
      <c r="I12" s="23" t="s">
        <v>57</v>
      </c>
      <c r="J12" s="24" t="s">
        <v>58</v>
      </c>
      <c r="K12" s="23">
        <v>10724.5</v>
      </c>
      <c r="L12" s="23" t="s">
        <v>59</v>
      </c>
      <c r="M12" s="24" t="s">
        <v>53</v>
      </c>
      <c r="N12" s="24" t="s">
        <v>54</v>
      </c>
      <c r="O12" s="25" t="s">
        <v>55</v>
      </c>
      <c r="P12" s="26" t="s">
        <v>60</v>
      </c>
    </row>
    <row r="13" spans="1:16" ht="12.75" customHeight="1" x14ac:dyDescent="0.2">
      <c r="A13" s="14" t="str">
        <f t="shared" si="0"/>
        <v>BAVM 91 </v>
      </c>
      <c r="B13" s="8" t="str">
        <f t="shared" si="1"/>
        <v>I</v>
      </c>
      <c r="C13" s="14">
        <f t="shared" si="2"/>
        <v>50113.406999999999</v>
      </c>
      <c r="D13" t="str">
        <f t="shared" si="3"/>
        <v>vis</v>
      </c>
      <c r="E13">
        <f>VLOOKUP(C13,Active!C$21:E$973,3,FALSE)</f>
        <v>10960.995273164977</v>
      </c>
      <c r="F13" s="8" t="s">
        <v>48</v>
      </c>
      <c r="G13" t="str">
        <f t="shared" si="4"/>
        <v>50113.4070</v>
      </c>
      <c r="H13" s="14">
        <f t="shared" si="5"/>
        <v>10961</v>
      </c>
      <c r="I13" s="23" t="s">
        <v>61</v>
      </c>
      <c r="J13" s="24" t="s">
        <v>62</v>
      </c>
      <c r="K13" s="23">
        <v>10961</v>
      </c>
      <c r="L13" s="23" t="s">
        <v>63</v>
      </c>
      <c r="M13" s="24" t="s">
        <v>53</v>
      </c>
      <c r="N13" s="24" t="s">
        <v>54</v>
      </c>
      <c r="O13" s="25" t="s">
        <v>55</v>
      </c>
      <c r="P13" s="26" t="s">
        <v>60</v>
      </c>
    </row>
    <row r="14" spans="1:16" ht="12.75" customHeight="1" x14ac:dyDescent="0.2">
      <c r="A14" s="14" t="str">
        <f t="shared" si="0"/>
        <v>BAVM 152 </v>
      </c>
      <c r="B14" s="8" t="str">
        <f t="shared" si="1"/>
        <v>I</v>
      </c>
      <c r="C14" s="14">
        <f t="shared" si="2"/>
        <v>52278.330300000001</v>
      </c>
      <c r="D14" t="str">
        <f t="shared" si="3"/>
        <v>vis</v>
      </c>
      <c r="E14">
        <f>VLOOKUP(C14,Active!C$21:E$973,3,FALSE)</f>
        <v>12054.990919261776</v>
      </c>
      <c r="F14" s="8" t="s">
        <v>48</v>
      </c>
      <c r="G14" t="str">
        <f t="shared" si="4"/>
        <v>52278.3303</v>
      </c>
      <c r="H14" s="14">
        <f t="shared" si="5"/>
        <v>12055</v>
      </c>
      <c r="I14" s="23" t="s">
        <v>64</v>
      </c>
      <c r="J14" s="24" t="s">
        <v>65</v>
      </c>
      <c r="K14" s="23">
        <v>12055</v>
      </c>
      <c r="L14" s="23" t="s">
        <v>66</v>
      </c>
      <c r="M14" s="24" t="s">
        <v>53</v>
      </c>
      <c r="N14" s="24" t="s">
        <v>67</v>
      </c>
      <c r="O14" s="25" t="s">
        <v>55</v>
      </c>
      <c r="P14" s="26" t="s">
        <v>68</v>
      </c>
    </row>
    <row r="15" spans="1:16" ht="12.75" customHeight="1" x14ac:dyDescent="0.2">
      <c r="A15" s="14" t="str">
        <f t="shared" si="0"/>
        <v>IBVS 5493 </v>
      </c>
      <c r="B15" s="8" t="str">
        <f t="shared" si="1"/>
        <v>I</v>
      </c>
      <c r="C15" s="14">
        <f t="shared" si="2"/>
        <v>52885.853300000002</v>
      </c>
      <c r="D15" t="str">
        <f t="shared" si="3"/>
        <v>vis</v>
      </c>
      <c r="E15">
        <f>VLOOKUP(C15,Active!C$21:E$973,3,FALSE)</f>
        <v>12361.989101092822</v>
      </c>
      <c r="F15" s="8" t="s">
        <v>48</v>
      </c>
      <c r="G15" t="str">
        <f t="shared" si="4"/>
        <v>52885.8533</v>
      </c>
      <c r="H15" s="14">
        <f t="shared" si="5"/>
        <v>12362</v>
      </c>
      <c r="I15" s="23" t="s">
        <v>69</v>
      </c>
      <c r="J15" s="24" t="s">
        <v>70</v>
      </c>
      <c r="K15" s="23" t="s">
        <v>71</v>
      </c>
      <c r="L15" s="23" t="s">
        <v>72</v>
      </c>
      <c r="M15" s="24" t="s">
        <v>53</v>
      </c>
      <c r="N15" s="24" t="s">
        <v>73</v>
      </c>
      <c r="O15" s="25" t="s">
        <v>74</v>
      </c>
      <c r="P15" s="26" t="s">
        <v>75</v>
      </c>
    </row>
    <row r="16" spans="1:16" ht="12.75" customHeight="1" x14ac:dyDescent="0.2">
      <c r="A16" s="14" t="str">
        <f t="shared" si="0"/>
        <v>BAVM 172 </v>
      </c>
      <c r="B16" s="8" t="str">
        <f t="shared" si="1"/>
        <v>I</v>
      </c>
      <c r="C16" s="14">
        <f t="shared" si="2"/>
        <v>52913.560100000002</v>
      </c>
      <c r="D16" t="str">
        <f t="shared" si="3"/>
        <v>vis</v>
      </c>
      <c r="E16">
        <f>VLOOKUP(C16,Active!C$21:E$973,3,FALSE)</f>
        <v>12375.990113769472</v>
      </c>
      <c r="F16" s="8" t="s">
        <v>48</v>
      </c>
      <c r="G16" t="str">
        <f t="shared" si="4"/>
        <v>52913.5601</v>
      </c>
      <c r="H16" s="14">
        <f t="shared" si="5"/>
        <v>12376</v>
      </c>
      <c r="I16" s="23" t="s">
        <v>76</v>
      </c>
      <c r="J16" s="24" t="s">
        <v>77</v>
      </c>
      <c r="K16" s="23" t="s">
        <v>78</v>
      </c>
      <c r="L16" s="23" t="s">
        <v>79</v>
      </c>
      <c r="M16" s="24" t="s">
        <v>53</v>
      </c>
      <c r="N16" s="24" t="s">
        <v>54</v>
      </c>
      <c r="O16" s="25" t="s">
        <v>55</v>
      </c>
      <c r="P16" s="26" t="s">
        <v>80</v>
      </c>
    </row>
    <row r="17" spans="1:16" ht="12.75" customHeight="1" x14ac:dyDescent="0.2">
      <c r="A17" s="14" t="str">
        <f t="shared" si="0"/>
        <v>BAVM 173 </v>
      </c>
      <c r="B17" s="8" t="str">
        <f t="shared" si="1"/>
        <v>II</v>
      </c>
      <c r="C17" s="14">
        <f t="shared" si="2"/>
        <v>53407.296999999999</v>
      </c>
      <c r="D17" t="str">
        <f t="shared" si="3"/>
        <v>vis</v>
      </c>
      <c r="E17">
        <f>VLOOKUP(C17,Active!C$21:E$973,3,FALSE)</f>
        <v>12625.489030852274</v>
      </c>
      <c r="F17" s="8" t="s">
        <v>48</v>
      </c>
      <c r="G17" t="str">
        <f t="shared" si="4"/>
        <v>53407.2970</v>
      </c>
      <c r="H17" s="14">
        <f t="shared" si="5"/>
        <v>12625.5</v>
      </c>
      <c r="I17" s="23" t="s">
        <v>81</v>
      </c>
      <c r="J17" s="24" t="s">
        <v>82</v>
      </c>
      <c r="K17" s="23" t="s">
        <v>83</v>
      </c>
      <c r="L17" s="23" t="s">
        <v>84</v>
      </c>
      <c r="M17" s="24" t="s">
        <v>53</v>
      </c>
      <c r="N17" s="24" t="s">
        <v>67</v>
      </c>
      <c r="O17" s="25" t="s">
        <v>85</v>
      </c>
      <c r="P17" s="26" t="s">
        <v>86</v>
      </c>
    </row>
    <row r="18" spans="1:16" ht="12.75" customHeight="1" x14ac:dyDescent="0.2">
      <c r="A18" s="14" t="str">
        <f t="shared" si="0"/>
        <v>BAVM 173 </v>
      </c>
      <c r="B18" s="8" t="str">
        <f t="shared" si="1"/>
        <v>I</v>
      </c>
      <c r="C18" s="14">
        <f t="shared" si="2"/>
        <v>53410.264999999999</v>
      </c>
      <c r="D18" t="str">
        <f t="shared" si="3"/>
        <v>vis</v>
      </c>
      <c r="E18">
        <f>VLOOKUP(C18,Active!C$21:E$973,3,FALSE)</f>
        <v>12626.98884337571</v>
      </c>
      <c r="F18" s="8" t="s">
        <v>48</v>
      </c>
      <c r="G18" t="str">
        <f t="shared" si="4"/>
        <v>53410.2650</v>
      </c>
      <c r="H18" s="14">
        <f t="shared" si="5"/>
        <v>12627</v>
      </c>
      <c r="I18" s="23" t="s">
        <v>87</v>
      </c>
      <c r="J18" s="24" t="s">
        <v>88</v>
      </c>
      <c r="K18" s="23" t="s">
        <v>89</v>
      </c>
      <c r="L18" s="23" t="s">
        <v>90</v>
      </c>
      <c r="M18" s="24" t="s">
        <v>53</v>
      </c>
      <c r="N18" s="24" t="s">
        <v>67</v>
      </c>
      <c r="O18" s="25" t="s">
        <v>85</v>
      </c>
      <c r="P18" s="26" t="s">
        <v>86</v>
      </c>
    </row>
    <row r="19" spans="1:16" ht="12.75" customHeight="1" x14ac:dyDescent="0.2">
      <c r="A19" s="14" t="str">
        <f t="shared" si="0"/>
        <v>BAVM 178 </v>
      </c>
      <c r="B19" s="8" t="str">
        <f t="shared" si="1"/>
        <v>I</v>
      </c>
      <c r="C19" s="14">
        <f t="shared" si="2"/>
        <v>53681.374100000001</v>
      </c>
      <c r="D19" t="str">
        <f t="shared" si="3"/>
        <v>vis</v>
      </c>
      <c r="E19">
        <f>VLOOKUP(C19,Active!C$21:E$973,3,FALSE)</f>
        <v>12763.987773091705</v>
      </c>
      <c r="F19" s="8" t="s">
        <v>48</v>
      </c>
      <c r="G19" t="str">
        <f t="shared" si="4"/>
        <v>53681.3741</v>
      </c>
      <c r="H19" s="14">
        <f t="shared" si="5"/>
        <v>12764</v>
      </c>
      <c r="I19" s="23" t="s">
        <v>91</v>
      </c>
      <c r="J19" s="24" t="s">
        <v>92</v>
      </c>
      <c r="K19" s="23" t="s">
        <v>93</v>
      </c>
      <c r="L19" s="23" t="s">
        <v>94</v>
      </c>
      <c r="M19" s="24" t="s">
        <v>95</v>
      </c>
      <c r="N19" s="24" t="s">
        <v>54</v>
      </c>
      <c r="O19" s="25" t="s">
        <v>96</v>
      </c>
      <c r="P19" s="26" t="s">
        <v>97</v>
      </c>
    </row>
    <row r="20" spans="1:16" ht="12.75" customHeight="1" x14ac:dyDescent="0.2">
      <c r="A20" s="14" t="str">
        <f t="shared" si="0"/>
        <v>IBVS 5760 </v>
      </c>
      <c r="B20" s="8" t="str">
        <f t="shared" si="1"/>
        <v>I</v>
      </c>
      <c r="C20" s="14">
        <f t="shared" si="2"/>
        <v>53738.762300000002</v>
      </c>
      <c r="D20" t="str">
        <f t="shared" si="3"/>
        <v>vis</v>
      </c>
      <c r="E20">
        <f>VLOOKUP(C20,Active!C$21:E$973,3,FALSE)</f>
        <v>12792.987618461439</v>
      </c>
      <c r="F20" s="8" t="s">
        <v>48</v>
      </c>
      <c r="G20" t="str">
        <f t="shared" si="4"/>
        <v>53738.7623</v>
      </c>
      <c r="H20" s="14">
        <f t="shared" si="5"/>
        <v>12793</v>
      </c>
      <c r="I20" s="23" t="s">
        <v>98</v>
      </c>
      <c r="J20" s="24" t="s">
        <v>99</v>
      </c>
      <c r="K20" s="23" t="s">
        <v>100</v>
      </c>
      <c r="L20" s="23" t="s">
        <v>101</v>
      </c>
      <c r="M20" s="24" t="s">
        <v>95</v>
      </c>
      <c r="N20" s="24" t="s">
        <v>102</v>
      </c>
      <c r="O20" s="25" t="s">
        <v>103</v>
      </c>
      <c r="P20" s="26" t="s">
        <v>104</v>
      </c>
    </row>
    <row r="21" spans="1:16" ht="12.75" customHeight="1" x14ac:dyDescent="0.2">
      <c r="A21" s="14" t="str">
        <f t="shared" si="0"/>
        <v>BAVM 209 </v>
      </c>
      <c r="B21" s="8" t="str">
        <f t="shared" si="1"/>
        <v>I</v>
      </c>
      <c r="C21" s="14">
        <f t="shared" si="2"/>
        <v>54815.287300000004</v>
      </c>
      <c r="D21" t="str">
        <f t="shared" si="3"/>
        <v>vis</v>
      </c>
      <c r="E21">
        <f>VLOOKUP(C21,Active!C$21:E$973,3,FALSE)</f>
        <v>13336.985487999984</v>
      </c>
      <c r="F21" s="8" t="s">
        <v>48</v>
      </c>
      <c r="G21" t="str">
        <f t="shared" si="4"/>
        <v>54815.2873</v>
      </c>
      <c r="H21" s="14">
        <f t="shared" si="5"/>
        <v>13337</v>
      </c>
      <c r="I21" s="23" t="s">
        <v>105</v>
      </c>
      <c r="J21" s="24" t="s">
        <v>106</v>
      </c>
      <c r="K21" s="23" t="s">
        <v>107</v>
      </c>
      <c r="L21" s="23" t="s">
        <v>108</v>
      </c>
      <c r="M21" s="24" t="s">
        <v>95</v>
      </c>
      <c r="N21" s="24" t="s">
        <v>109</v>
      </c>
      <c r="O21" s="25" t="s">
        <v>110</v>
      </c>
      <c r="P21" s="26" t="s">
        <v>111</v>
      </c>
    </row>
    <row r="22" spans="1:16" ht="12.75" customHeight="1" x14ac:dyDescent="0.2">
      <c r="A22" s="14" t="str">
        <f t="shared" si="0"/>
        <v>IBVS 5974 </v>
      </c>
      <c r="B22" s="8" t="str">
        <f t="shared" si="1"/>
        <v>I</v>
      </c>
      <c r="C22" s="14">
        <f t="shared" si="2"/>
        <v>55254.6057</v>
      </c>
      <c r="D22" t="str">
        <f t="shared" si="3"/>
        <v>vis</v>
      </c>
      <c r="E22">
        <f>VLOOKUP(C22,Active!C$21:E$973,3,FALSE)</f>
        <v>13558.985231293527</v>
      </c>
      <c r="F22" s="8" t="s">
        <v>48</v>
      </c>
      <c r="G22" t="str">
        <f t="shared" si="4"/>
        <v>55254.6057</v>
      </c>
      <c r="H22" s="14">
        <f t="shared" si="5"/>
        <v>13559</v>
      </c>
      <c r="I22" s="23" t="s">
        <v>112</v>
      </c>
      <c r="J22" s="24" t="s">
        <v>113</v>
      </c>
      <c r="K22" s="23" t="s">
        <v>114</v>
      </c>
      <c r="L22" s="23" t="s">
        <v>115</v>
      </c>
      <c r="M22" s="24" t="s">
        <v>95</v>
      </c>
      <c r="N22" s="24" t="s">
        <v>48</v>
      </c>
      <c r="O22" s="25" t="s">
        <v>116</v>
      </c>
      <c r="P22" s="26" t="s">
        <v>117</v>
      </c>
    </row>
    <row r="23" spans="1:16" ht="12.75" customHeight="1" x14ac:dyDescent="0.2">
      <c r="A23" s="14" t="str">
        <f t="shared" si="0"/>
        <v>OEJV 0160 </v>
      </c>
      <c r="B23" s="8" t="str">
        <f t="shared" si="1"/>
        <v>II</v>
      </c>
      <c r="C23" s="14">
        <f t="shared" si="2"/>
        <v>55819.588309999999</v>
      </c>
      <c r="D23" t="str">
        <f t="shared" si="3"/>
        <v>vis</v>
      </c>
      <c r="E23">
        <f>VLOOKUP(C23,Active!C$21:E$973,3,FALSE)</f>
        <v>13844.486576981111</v>
      </c>
      <c r="F23" s="8" t="s">
        <v>48</v>
      </c>
      <c r="G23" t="str">
        <f t="shared" si="4"/>
        <v>55819.58831</v>
      </c>
      <c r="H23" s="14">
        <f t="shared" si="5"/>
        <v>13844.5</v>
      </c>
      <c r="I23" s="23" t="s">
        <v>118</v>
      </c>
      <c r="J23" s="24" t="s">
        <v>119</v>
      </c>
      <c r="K23" s="23" t="s">
        <v>120</v>
      </c>
      <c r="L23" s="23" t="s">
        <v>121</v>
      </c>
      <c r="M23" s="24" t="s">
        <v>95</v>
      </c>
      <c r="N23" s="24" t="s">
        <v>102</v>
      </c>
      <c r="O23" s="25" t="s">
        <v>122</v>
      </c>
      <c r="P23" s="26" t="s">
        <v>123</v>
      </c>
    </row>
    <row r="24" spans="1:16" ht="12.75" customHeight="1" x14ac:dyDescent="0.2">
      <c r="A24" s="14" t="str">
        <f t="shared" si="0"/>
        <v>BAVM 239 </v>
      </c>
      <c r="B24" s="8" t="str">
        <f t="shared" si="1"/>
        <v>II</v>
      </c>
      <c r="C24" s="14">
        <f t="shared" si="2"/>
        <v>56957.459600000002</v>
      </c>
      <c r="D24" t="str">
        <f t="shared" si="3"/>
        <v>vis</v>
      </c>
      <c r="E24">
        <f>VLOOKUP(C24,Active!C$21:E$973,3,FALSE)</f>
        <v>14419.48442428524</v>
      </c>
      <c r="F24" s="8" t="s">
        <v>48</v>
      </c>
      <c r="G24" t="str">
        <f t="shared" si="4"/>
        <v>56957.4596</v>
      </c>
      <c r="H24" s="14">
        <f t="shared" si="5"/>
        <v>14419.5</v>
      </c>
      <c r="I24" s="23" t="s">
        <v>124</v>
      </c>
      <c r="J24" s="24" t="s">
        <v>125</v>
      </c>
      <c r="K24" s="23" t="s">
        <v>126</v>
      </c>
      <c r="L24" s="23" t="s">
        <v>127</v>
      </c>
      <c r="M24" s="24" t="s">
        <v>95</v>
      </c>
      <c r="N24" s="24" t="s">
        <v>54</v>
      </c>
      <c r="O24" s="25" t="s">
        <v>128</v>
      </c>
      <c r="P24" s="26" t="s">
        <v>129</v>
      </c>
    </row>
    <row r="25" spans="1:16" ht="12.75" customHeight="1" x14ac:dyDescent="0.2">
      <c r="A25" s="14" t="str">
        <f t="shared" si="0"/>
        <v> KVBB 19.81 </v>
      </c>
      <c r="B25" s="8" t="str">
        <f t="shared" si="1"/>
        <v>I</v>
      </c>
      <c r="C25" s="14">
        <f t="shared" si="2"/>
        <v>25244.45</v>
      </c>
      <c r="D25" t="str">
        <f t="shared" si="3"/>
        <v>vis</v>
      </c>
      <c r="E25">
        <f>VLOOKUP(C25,Active!C$21:E$973,3,FALSE)</f>
        <v>-1605.9768135452071</v>
      </c>
      <c r="F25" s="8" t="s">
        <v>48</v>
      </c>
      <c r="G25" t="str">
        <f t="shared" si="4"/>
        <v>25244.45</v>
      </c>
      <c r="H25" s="14">
        <f t="shared" si="5"/>
        <v>-1606</v>
      </c>
      <c r="I25" s="23" t="s">
        <v>130</v>
      </c>
      <c r="J25" s="24" t="s">
        <v>131</v>
      </c>
      <c r="K25" s="23">
        <v>-1606</v>
      </c>
      <c r="L25" s="23" t="s">
        <v>132</v>
      </c>
      <c r="M25" s="24" t="s">
        <v>133</v>
      </c>
      <c r="N25" s="24"/>
      <c r="O25" s="25" t="s">
        <v>134</v>
      </c>
      <c r="P25" s="25" t="s">
        <v>135</v>
      </c>
    </row>
    <row r="26" spans="1:16" ht="12.75" customHeight="1" x14ac:dyDescent="0.2">
      <c r="A26" s="14" t="str">
        <f t="shared" si="0"/>
        <v> KVBB 19.81 </v>
      </c>
      <c r="B26" s="8" t="str">
        <f t="shared" si="1"/>
        <v>I</v>
      </c>
      <c r="C26" s="14">
        <f t="shared" si="2"/>
        <v>25982.55</v>
      </c>
      <c r="D26" t="str">
        <f t="shared" si="3"/>
        <v>vis</v>
      </c>
      <c r="E26">
        <f>VLOOKUP(C26,Active!C$21:E$973,3,FALSE)</f>
        <v>-1232.9944605980863</v>
      </c>
      <c r="F26" s="8" t="s">
        <v>48</v>
      </c>
      <c r="G26" t="str">
        <f t="shared" si="4"/>
        <v>25982.55</v>
      </c>
      <c r="H26" s="14">
        <f t="shared" si="5"/>
        <v>-1233</v>
      </c>
      <c r="I26" s="23" t="s">
        <v>136</v>
      </c>
      <c r="J26" s="24" t="s">
        <v>137</v>
      </c>
      <c r="K26" s="23">
        <v>-1233</v>
      </c>
      <c r="L26" s="23" t="s">
        <v>138</v>
      </c>
      <c r="M26" s="24" t="s">
        <v>133</v>
      </c>
      <c r="N26" s="24"/>
      <c r="O26" s="25" t="s">
        <v>134</v>
      </c>
      <c r="P26" s="25" t="s">
        <v>135</v>
      </c>
    </row>
    <row r="27" spans="1:16" ht="12.75" customHeight="1" x14ac:dyDescent="0.2">
      <c r="A27" s="14" t="str">
        <f t="shared" si="0"/>
        <v> KVBB 19.81 </v>
      </c>
      <c r="B27" s="8" t="str">
        <f t="shared" si="1"/>
        <v>I</v>
      </c>
      <c r="C27" s="14">
        <f t="shared" si="2"/>
        <v>26932.53</v>
      </c>
      <c r="D27" t="str">
        <f t="shared" si="3"/>
        <v>vis</v>
      </c>
      <c r="E27">
        <f>VLOOKUP(C27,Active!C$21:E$973,3,FALSE)</f>
        <v>-752.94328101170743</v>
      </c>
      <c r="F27" s="8" t="s">
        <v>48</v>
      </c>
      <c r="G27" t="str">
        <f t="shared" si="4"/>
        <v>26932.53</v>
      </c>
      <c r="H27" s="14">
        <f t="shared" si="5"/>
        <v>-753</v>
      </c>
      <c r="I27" s="23" t="s">
        <v>139</v>
      </c>
      <c r="J27" s="24" t="s">
        <v>140</v>
      </c>
      <c r="K27" s="23">
        <v>-753</v>
      </c>
      <c r="L27" s="23" t="s">
        <v>141</v>
      </c>
      <c r="M27" s="24" t="s">
        <v>133</v>
      </c>
      <c r="N27" s="24"/>
      <c r="O27" s="25" t="s">
        <v>134</v>
      </c>
      <c r="P27" s="25" t="s">
        <v>135</v>
      </c>
    </row>
    <row r="28" spans="1:16" ht="12.75" customHeight="1" x14ac:dyDescent="0.2">
      <c r="A28" s="14" t="str">
        <f t="shared" si="0"/>
        <v> KVBB 19.81 </v>
      </c>
      <c r="B28" s="8" t="str">
        <f t="shared" si="1"/>
        <v>I</v>
      </c>
      <c r="C28" s="14">
        <f t="shared" si="2"/>
        <v>27306.47</v>
      </c>
      <c r="D28" t="str">
        <f t="shared" si="3"/>
        <v>vis</v>
      </c>
      <c r="E28">
        <f>VLOOKUP(C28,Active!C$21:E$973,3,FALSE)</f>
        <v>-563.98105223369976</v>
      </c>
      <c r="F28" s="8" t="s">
        <v>48</v>
      </c>
      <c r="G28" t="str">
        <f t="shared" si="4"/>
        <v>27306.47</v>
      </c>
      <c r="H28" s="14">
        <f t="shared" si="5"/>
        <v>-564</v>
      </c>
      <c r="I28" s="23" t="s">
        <v>142</v>
      </c>
      <c r="J28" s="24" t="s">
        <v>143</v>
      </c>
      <c r="K28" s="23">
        <v>-564</v>
      </c>
      <c r="L28" s="23" t="s">
        <v>144</v>
      </c>
      <c r="M28" s="24" t="s">
        <v>133</v>
      </c>
      <c r="N28" s="24"/>
      <c r="O28" s="25" t="s">
        <v>134</v>
      </c>
      <c r="P28" s="25" t="s">
        <v>135</v>
      </c>
    </row>
    <row r="29" spans="1:16" ht="12.75" customHeight="1" x14ac:dyDescent="0.2">
      <c r="A29" s="14" t="str">
        <f t="shared" si="0"/>
        <v> MVS 4.62 </v>
      </c>
      <c r="B29" s="8" t="str">
        <f t="shared" si="1"/>
        <v>I</v>
      </c>
      <c r="C29" s="14">
        <f t="shared" si="2"/>
        <v>28422.526999999998</v>
      </c>
      <c r="D29" t="str">
        <f t="shared" si="3"/>
        <v>vis</v>
      </c>
      <c r="E29">
        <f>VLOOKUP(C29,Active!C$21:E$973,3,FALSE)</f>
        <v>-6.5692597064088932E-3</v>
      </c>
      <c r="F29" s="8" t="s">
        <v>48</v>
      </c>
      <c r="G29" t="str">
        <f t="shared" si="4"/>
        <v>28422.527</v>
      </c>
      <c r="H29" s="14">
        <f t="shared" si="5"/>
        <v>0</v>
      </c>
      <c r="I29" s="23" t="s">
        <v>145</v>
      </c>
      <c r="J29" s="24" t="s">
        <v>146</v>
      </c>
      <c r="K29" s="23">
        <v>0</v>
      </c>
      <c r="L29" s="23" t="s">
        <v>147</v>
      </c>
      <c r="M29" s="24" t="s">
        <v>133</v>
      </c>
      <c r="N29" s="24"/>
      <c r="O29" s="25" t="s">
        <v>148</v>
      </c>
      <c r="P29" s="25" t="s">
        <v>149</v>
      </c>
    </row>
    <row r="30" spans="1:16" ht="12.75" customHeight="1" x14ac:dyDescent="0.2">
      <c r="A30" s="14" t="str">
        <f t="shared" si="0"/>
        <v> MVS 4.62 </v>
      </c>
      <c r="B30" s="8" t="str">
        <f t="shared" si="1"/>
        <v>I</v>
      </c>
      <c r="C30" s="14">
        <f t="shared" si="2"/>
        <v>28545.300999999999</v>
      </c>
      <c r="D30" t="str">
        <f t="shared" si="3"/>
        <v>vis</v>
      </c>
      <c r="E30">
        <f>VLOOKUP(C30,Active!C$21:E$973,3,FALSE)</f>
        <v>62.034530050319823</v>
      </c>
      <c r="F30" s="8" t="s">
        <v>48</v>
      </c>
      <c r="G30" t="str">
        <f t="shared" si="4"/>
        <v>28545.301</v>
      </c>
      <c r="H30" s="14">
        <f t="shared" si="5"/>
        <v>62</v>
      </c>
      <c r="I30" s="23" t="s">
        <v>150</v>
      </c>
      <c r="J30" s="24" t="s">
        <v>151</v>
      </c>
      <c r="K30" s="23">
        <v>62</v>
      </c>
      <c r="L30" s="23" t="s">
        <v>152</v>
      </c>
      <c r="M30" s="24" t="s">
        <v>133</v>
      </c>
      <c r="N30" s="24"/>
      <c r="O30" s="25" t="s">
        <v>148</v>
      </c>
      <c r="P30" s="25" t="s">
        <v>149</v>
      </c>
    </row>
    <row r="31" spans="1:16" ht="12.75" customHeight="1" x14ac:dyDescent="0.2">
      <c r="A31" s="14" t="str">
        <f t="shared" si="0"/>
        <v> MVS 4.62 </v>
      </c>
      <c r="B31" s="8" t="str">
        <f t="shared" si="1"/>
        <v>I</v>
      </c>
      <c r="C31" s="14">
        <f t="shared" si="2"/>
        <v>28547.281999999999</v>
      </c>
      <c r="D31" t="str">
        <f t="shared" si="3"/>
        <v>vis</v>
      </c>
      <c r="E31">
        <f>VLOOKUP(C31,Active!C$21:E$973,3,FALSE)</f>
        <v>63.035584163838536</v>
      </c>
      <c r="F31" s="8" t="s">
        <v>48</v>
      </c>
      <c r="G31" t="str">
        <f t="shared" si="4"/>
        <v>28547.282</v>
      </c>
      <c r="H31" s="14">
        <f t="shared" si="5"/>
        <v>63</v>
      </c>
      <c r="I31" s="23" t="s">
        <v>153</v>
      </c>
      <c r="J31" s="24" t="s">
        <v>154</v>
      </c>
      <c r="K31" s="23">
        <v>63</v>
      </c>
      <c r="L31" s="23" t="s">
        <v>155</v>
      </c>
      <c r="M31" s="24" t="s">
        <v>133</v>
      </c>
      <c r="N31" s="24"/>
      <c r="O31" s="25" t="s">
        <v>148</v>
      </c>
      <c r="P31" s="25" t="s">
        <v>149</v>
      </c>
    </row>
    <row r="32" spans="1:16" ht="12.75" customHeight="1" x14ac:dyDescent="0.2">
      <c r="A32" s="14" t="str">
        <f t="shared" si="0"/>
        <v> MVS 4.62 </v>
      </c>
      <c r="B32" s="8" t="str">
        <f t="shared" si="1"/>
        <v>I</v>
      </c>
      <c r="C32" s="14">
        <f t="shared" si="2"/>
        <v>30787.328000000001</v>
      </c>
      <c r="D32" t="str">
        <f t="shared" si="3"/>
        <v>vis</v>
      </c>
      <c r="E32">
        <f>VLOOKUP(C32,Active!C$21:E$973,3,FALSE)</f>
        <v>1194.9928091872614</v>
      </c>
      <c r="F32" s="8" t="s">
        <v>48</v>
      </c>
      <c r="G32" t="str">
        <f t="shared" si="4"/>
        <v>30787.328</v>
      </c>
      <c r="H32" s="14">
        <f t="shared" si="5"/>
        <v>1195</v>
      </c>
      <c r="I32" s="23" t="s">
        <v>156</v>
      </c>
      <c r="J32" s="24" t="s">
        <v>157</v>
      </c>
      <c r="K32" s="23">
        <v>1195</v>
      </c>
      <c r="L32" s="23" t="s">
        <v>158</v>
      </c>
      <c r="M32" s="24" t="s">
        <v>133</v>
      </c>
      <c r="N32" s="24"/>
      <c r="O32" s="25" t="s">
        <v>148</v>
      </c>
      <c r="P32" s="25" t="s">
        <v>149</v>
      </c>
    </row>
    <row r="33" spans="1:16" ht="12.75" customHeight="1" x14ac:dyDescent="0.2">
      <c r="A33" s="14" t="str">
        <f t="shared" si="0"/>
        <v> MVS 4.62 </v>
      </c>
      <c r="B33" s="8" t="str">
        <f t="shared" si="1"/>
        <v>I</v>
      </c>
      <c r="C33" s="14">
        <f t="shared" si="2"/>
        <v>30789.303</v>
      </c>
      <c r="D33" t="str">
        <f t="shared" si="3"/>
        <v>vis</v>
      </c>
      <c r="E33">
        <f>VLOOKUP(C33,Active!C$21:E$973,3,FALSE)</f>
        <v>1195.9908313347619</v>
      </c>
      <c r="F33" s="8" t="s">
        <v>48</v>
      </c>
      <c r="G33" t="str">
        <f t="shared" si="4"/>
        <v>30789.303</v>
      </c>
      <c r="H33" s="14">
        <f t="shared" si="5"/>
        <v>1196</v>
      </c>
      <c r="I33" s="23" t="s">
        <v>159</v>
      </c>
      <c r="J33" s="24" t="s">
        <v>160</v>
      </c>
      <c r="K33" s="23">
        <v>1196</v>
      </c>
      <c r="L33" s="23" t="s">
        <v>161</v>
      </c>
      <c r="M33" s="24" t="s">
        <v>133</v>
      </c>
      <c r="N33" s="24"/>
      <c r="O33" s="25" t="s">
        <v>148</v>
      </c>
      <c r="P33" s="25" t="s">
        <v>149</v>
      </c>
    </row>
    <row r="34" spans="1:16" ht="12.75" customHeight="1" x14ac:dyDescent="0.2">
      <c r="A34" s="14" t="str">
        <f t="shared" si="0"/>
        <v> MVS 4.62 </v>
      </c>
      <c r="B34" s="8" t="str">
        <f t="shared" si="1"/>
        <v>II</v>
      </c>
      <c r="C34" s="14">
        <f t="shared" si="2"/>
        <v>31326.563999999998</v>
      </c>
      <c r="D34" t="str">
        <f t="shared" si="3"/>
        <v>vis</v>
      </c>
      <c r="E34">
        <f>VLOOKUP(C34,Active!C$21:E$973,3,FALSE)</f>
        <v>1467.4836804429083</v>
      </c>
      <c r="F34" s="8" t="s">
        <v>48</v>
      </c>
      <c r="G34" t="str">
        <f t="shared" si="4"/>
        <v>31326.564</v>
      </c>
      <c r="H34" s="14">
        <f t="shared" si="5"/>
        <v>1467.5</v>
      </c>
      <c r="I34" s="23" t="s">
        <v>162</v>
      </c>
      <c r="J34" s="24" t="s">
        <v>163</v>
      </c>
      <c r="K34" s="23">
        <v>1467.5</v>
      </c>
      <c r="L34" s="23" t="s">
        <v>164</v>
      </c>
      <c r="M34" s="24" t="s">
        <v>133</v>
      </c>
      <c r="N34" s="24"/>
      <c r="O34" s="25" t="s">
        <v>148</v>
      </c>
      <c r="P34" s="25" t="s">
        <v>149</v>
      </c>
    </row>
    <row r="35" spans="1:16" ht="12.75" customHeight="1" x14ac:dyDescent="0.2">
      <c r="A35" s="14" t="str">
        <f t="shared" si="0"/>
        <v> MVS 4.62 </v>
      </c>
      <c r="B35" s="8" t="str">
        <f t="shared" si="1"/>
        <v>I</v>
      </c>
      <c r="C35" s="14">
        <f t="shared" si="2"/>
        <v>31329.572</v>
      </c>
      <c r="D35" t="str">
        <f t="shared" si="3"/>
        <v>vis</v>
      </c>
      <c r="E35">
        <f>VLOOKUP(C35,Active!C$21:E$973,3,FALSE)</f>
        <v>1469.0037060731286</v>
      </c>
      <c r="F35" s="8" t="s">
        <v>48</v>
      </c>
      <c r="G35" t="str">
        <f t="shared" si="4"/>
        <v>31329.572</v>
      </c>
      <c r="H35" s="14">
        <f t="shared" si="5"/>
        <v>1469</v>
      </c>
      <c r="I35" s="23" t="s">
        <v>165</v>
      </c>
      <c r="J35" s="24" t="s">
        <v>166</v>
      </c>
      <c r="K35" s="23">
        <v>1469</v>
      </c>
      <c r="L35" s="23" t="s">
        <v>167</v>
      </c>
      <c r="M35" s="24" t="s">
        <v>133</v>
      </c>
      <c r="N35" s="24"/>
      <c r="O35" s="25" t="s">
        <v>148</v>
      </c>
      <c r="P35" s="25" t="s">
        <v>149</v>
      </c>
    </row>
    <row r="36" spans="1:16" ht="12.75" customHeight="1" x14ac:dyDescent="0.2">
      <c r="A36" s="14" t="str">
        <f t="shared" si="0"/>
        <v> MVS 4.62 </v>
      </c>
      <c r="B36" s="8" t="str">
        <f t="shared" si="1"/>
        <v>II</v>
      </c>
      <c r="C36" s="14">
        <f t="shared" si="2"/>
        <v>31443.350999999999</v>
      </c>
      <c r="D36" t="str">
        <f t="shared" si="3"/>
        <v>vis</v>
      </c>
      <c r="E36">
        <f>VLOOKUP(C36,Active!C$21:E$973,3,FALSE)</f>
        <v>1526.4993829949142</v>
      </c>
      <c r="F36" s="8" t="s">
        <v>48</v>
      </c>
      <c r="G36" t="str">
        <f t="shared" si="4"/>
        <v>31443.351</v>
      </c>
      <c r="H36" s="14">
        <f t="shared" si="5"/>
        <v>1526.5</v>
      </c>
      <c r="I36" s="23" t="s">
        <v>168</v>
      </c>
      <c r="J36" s="24" t="s">
        <v>169</v>
      </c>
      <c r="K36" s="23">
        <v>1526.5</v>
      </c>
      <c r="L36" s="23" t="s">
        <v>170</v>
      </c>
      <c r="M36" s="24" t="s">
        <v>133</v>
      </c>
      <c r="N36" s="24"/>
      <c r="O36" s="25" t="s">
        <v>148</v>
      </c>
      <c r="P36" s="25" t="s">
        <v>149</v>
      </c>
    </row>
    <row r="37" spans="1:16" ht="12.75" customHeight="1" x14ac:dyDescent="0.2">
      <c r="A37" s="14" t="str">
        <f t="shared" si="0"/>
        <v> MVS 4.62 </v>
      </c>
      <c r="B37" s="8" t="str">
        <f t="shared" si="1"/>
        <v>I</v>
      </c>
      <c r="C37" s="14">
        <f t="shared" si="2"/>
        <v>35748.483</v>
      </c>
      <c r="D37" t="str">
        <f t="shared" si="3"/>
        <v>vis</v>
      </c>
      <c r="E37">
        <f>VLOOKUP(C37,Active!C$21:E$973,3,FALSE)</f>
        <v>3702.0017039649015</v>
      </c>
      <c r="F37" s="8" t="s">
        <v>48</v>
      </c>
      <c r="G37" t="str">
        <f t="shared" si="4"/>
        <v>35748.483</v>
      </c>
      <c r="H37" s="14">
        <f t="shared" si="5"/>
        <v>3702</v>
      </c>
      <c r="I37" s="23" t="s">
        <v>171</v>
      </c>
      <c r="J37" s="24" t="s">
        <v>172</v>
      </c>
      <c r="K37" s="23">
        <v>3702</v>
      </c>
      <c r="L37" s="23" t="s">
        <v>173</v>
      </c>
      <c r="M37" s="24" t="s">
        <v>133</v>
      </c>
      <c r="N37" s="24"/>
      <c r="O37" s="25" t="s">
        <v>148</v>
      </c>
      <c r="P37" s="25" t="s">
        <v>149</v>
      </c>
    </row>
    <row r="38" spans="1:16" ht="12.75" customHeight="1" x14ac:dyDescent="0.2">
      <c r="A38" s="14" t="str">
        <f t="shared" si="0"/>
        <v> MVS 4.62 </v>
      </c>
      <c r="B38" s="8" t="str">
        <f t="shared" si="1"/>
        <v>I</v>
      </c>
      <c r="C38" s="14">
        <f t="shared" si="2"/>
        <v>35861.279999999999</v>
      </c>
      <c r="D38" t="str">
        <f t="shared" si="3"/>
        <v>vis</v>
      </c>
      <c r="E38">
        <f>VLOOKUP(C38,Active!C$21:E$973,3,FALSE)</f>
        <v>3759.0011491151195</v>
      </c>
      <c r="F38" s="8" t="s">
        <v>48</v>
      </c>
      <c r="G38" t="str">
        <f t="shared" si="4"/>
        <v>35861.280</v>
      </c>
      <c r="H38" s="14">
        <f t="shared" si="5"/>
        <v>3759</v>
      </c>
      <c r="I38" s="23" t="s">
        <v>174</v>
      </c>
      <c r="J38" s="24" t="s">
        <v>175</v>
      </c>
      <c r="K38" s="23">
        <v>3759</v>
      </c>
      <c r="L38" s="23" t="s">
        <v>176</v>
      </c>
      <c r="M38" s="24" t="s">
        <v>133</v>
      </c>
      <c r="N38" s="24"/>
      <c r="O38" s="25" t="s">
        <v>148</v>
      </c>
      <c r="P38" s="25" t="s">
        <v>149</v>
      </c>
    </row>
    <row r="39" spans="1:16" ht="12.75" customHeight="1" x14ac:dyDescent="0.2">
      <c r="A39" s="14" t="str">
        <f t="shared" si="0"/>
        <v> MVS 4.62 </v>
      </c>
      <c r="B39" s="8" t="str">
        <f t="shared" si="1"/>
        <v>I</v>
      </c>
      <c r="C39" s="14">
        <f t="shared" si="2"/>
        <v>37903.542000000001</v>
      </c>
      <c r="D39" t="str">
        <f t="shared" si="3"/>
        <v>vis</v>
      </c>
      <c r="E39">
        <f>VLOOKUP(C39,Active!C$21:E$973,3,FALSE)</f>
        <v>4791.0126463302604</v>
      </c>
      <c r="F39" s="8" t="s">
        <v>48</v>
      </c>
      <c r="G39" t="str">
        <f t="shared" si="4"/>
        <v>37903.542</v>
      </c>
      <c r="H39" s="14">
        <f t="shared" si="5"/>
        <v>4791</v>
      </c>
      <c r="I39" s="23" t="s">
        <v>177</v>
      </c>
      <c r="J39" s="24" t="s">
        <v>178</v>
      </c>
      <c r="K39" s="23">
        <v>4791</v>
      </c>
      <c r="L39" s="23" t="s">
        <v>179</v>
      </c>
      <c r="M39" s="24" t="s">
        <v>133</v>
      </c>
      <c r="N39" s="24"/>
      <c r="O39" s="25" t="s">
        <v>148</v>
      </c>
      <c r="P39" s="25" t="s">
        <v>149</v>
      </c>
    </row>
    <row r="40" spans="1:16" ht="12.75" customHeight="1" x14ac:dyDescent="0.2">
      <c r="A40" s="14" t="str">
        <f t="shared" si="0"/>
        <v> MVS 4.62 </v>
      </c>
      <c r="B40" s="8" t="str">
        <f t="shared" si="1"/>
        <v>I</v>
      </c>
      <c r="C40" s="14">
        <f t="shared" si="2"/>
        <v>38113.317000000003</v>
      </c>
      <c r="D40" t="str">
        <f t="shared" si="3"/>
        <v>vis</v>
      </c>
      <c r="E40">
        <f>VLOOKUP(C40,Active!C$21:E$973,3,FALSE)</f>
        <v>4897.0177582249662</v>
      </c>
      <c r="F40" s="8" t="s">
        <v>48</v>
      </c>
      <c r="G40" t="str">
        <f t="shared" si="4"/>
        <v>38113.317</v>
      </c>
      <c r="H40" s="14">
        <f t="shared" si="5"/>
        <v>4897</v>
      </c>
      <c r="I40" s="23" t="s">
        <v>180</v>
      </c>
      <c r="J40" s="24" t="s">
        <v>181</v>
      </c>
      <c r="K40" s="23">
        <v>4897</v>
      </c>
      <c r="L40" s="23" t="s">
        <v>182</v>
      </c>
      <c r="M40" s="24" t="s">
        <v>133</v>
      </c>
      <c r="N40" s="24"/>
      <c r="O40" s="25" t="s">
        <v>148</v>
      </c>
      <c r="P40" s="25" t="s">
        <v>149</v>
      </c>
    </row>
    <row r="41" spans="1:16" ht="12.75" customHeight="1" x14ac:dyDescent="0.2">
      <c r="A41" s="14" t="str">
        <f t="shared" si="0"/>
        <v> MVS 4.62 </v>
      </c>
      <c r="B41" s="8" t="str">
        <f t="shared" si="1"/>
        <v>II</v>
      </c>
      <c r="C41" s="14">
        <f t="shared" si="2"/>
        <v>38272.574999999997</v>
      </c>
      <c r="D41" t="str">
        <f t="shared" si="3"/>
        <v>vis</v>
      </c>
      <c r="E41">
        <f>VLOOKUP(C41,Active!C$21:E$973,3,FALSE)</f>
        <v>4977.4952322334348</v>
      </c>
      <c r="F41" s="8" t="s">
        <v>48</v>
      </c>
      <c r="G41" t="str">
        <f t="shared" si="4"/>
        <v>38272.575</v>
      </c>
      <c r="H41" s="14">
        <f t="shared" si="5"/>
        <v>4977.5</v>
      </c>
      <c r="I41" s="23" t="s">
        <v>183</v>
      </c>
      <c r="J41" s="24" t="s">
        <v>184</v>
      </c>
      <c r="K41" s="23">
        <v>4977.5</v>
      </c>
      <c r="L41" s="23" t="s">
        <v>185</v>
      </c>
      <c r="M41" s="24" t="s">
        <v>133</v>
      </c>
      <c r="N41" s="24"/>
      <c r="O41" s="25" t="s">
        <v>148</v>
      </c>
      <c r="P41" s="25" t="s">
        <v>149</v>
      </c>
    </row>
    <row r="42" spans="1:16" ht="12.75" customHeight="1" x14ac:dyDescent="0.2">
      <c r="A42" s="14" t="str">
        <f t="shared" si="0"/>
        <v> MVS 4.62 </v>
      </c>
      <c r="B42" s="8" t="str">
        <f t="shared" si="1"/>
        <v>II</v>
      </c>
      <c r="C42" s="14">
        <f t="shared" si="2"/>
        <v>38373.525999999998</v>
      </c>
      <c r="D42" t="str">
        <f t="shared" si="3"/>
        <v>vis</v>
      </c>
      <c r="E42">
        <f>VLOOKUP(C42,Active!C$21:E$973,3,FALSE)</f>
        <v>5028.5085658093258</v>
      </c>
      <c r="F42" s="8" t="s">
        <v>48</v>
      </c>
      <c r="G42" t="str">
        <f t="shared" si="4"/>
        <v>38373.526</v>
      </c>
      <c r="H42" s="14">
        <f t="shared" si="5"/>
        <v>5028.5</v>
      </c>
      <c r="I42" s="23" t="s">
        <v>186</v>
      </c>
      <c r="J42" s="24" t="s">
        <v>187</v>
      </c>
      <c r="K42" s="23">
        <v>5028.5</v>
      </c>
      <c r="L42" s="23" t="s">
        <v>188</v>
      </c>
      <c r="M42" s="24" t="s">
        <v>133</v>
      </c>
      <c r="N42" s="24"/>
      <c r="O42" s="25" t="s">
        <v>148</v>
      </c>
      <c r="P42" s="25" t="s">
        <v>149</v>
      </c>
    </row>
    <row r="43" spans="1:16" ht="12.75" customHeight="1" x14ac:dyDescent="0.2">
      <c r="A43" s="14" t="str">
        <f t="shared" si="0"/>
        <v> MVS 4.62 </v>
      </c>
      <c r="B43" s="8" t="str">
        <f t="shared" si="1"/>
        <v>I</v>
      </c>
      <c r="C43" s="14">
        <f t="shared" si="2"/>
        <v>38384.425000000003</v>
      </c>
      <c r="D43" t="str">
        <f t="shared" si="3"/>
        <v>vis</v>
      </c>
      <c r="E43">
        <f>VLOOKUP(C43,Active!C$21:E$973,3,FALSE)</f>
        <v>5034.0161320805255</v>
      </c>
      <c r="F43" s="8" t="s">
        <v>48</v>
      </c>
      <c r="G43" t="str">
        <f t="shared" si="4"/>
        <v>38384.425</v>
      </c>
      <c r="H43" s="14">
        <f t="shared" si="5"/>
        <v>5034</v>
      </c>
      <c r="I43" s="23" t="s">
        <v>189</v>
      </c>
      <c r="J43" s="24" t="s">
        <v>190</v>
      </c>
      <c r="K43" s="23">
        <v>5034</v>
      </c>
      <c r="L43" s="23" t="s">
        <v>191</v>
      </c>
      <c r="M43" s="24" t="s">
        <v>133</v>
      </c>
      <c r="N43" s="24"/>
      <c r="O43" s="25" t="s">
        <v>148</v>
      </c>
      <c r="P43" s="25" t="s">
        <v>149</v>
      </c>
    </row>
    <row r="44" spans="1:16" ht="12.75" customHeight="1" x14ac:dyDescent="0.2">
      <c r="A44" s="14" t="str">
        <f t="shared" si="0"/>
        <v> MVS 4.62 </v>
      </c>
      <c r="B44" s="8" t="str">
        <f t="shared" si="1"/>
        <v>II</v>
      </c>
      <c r="C44" s="14">
        <f t="shared" si="2"/>
        <v>38385.375999999997</v>
      </c>
      <c r="D44" t="str">
        <f t="shared" si="3"/>
        <v>vis</v>
      </c>
      <c r="E44">
        <f>VLOOKUP(C44,Active!C$21:E$973,3,FALSE)</f>
        <v>5034.4966986943318</v>
      </c>
      <c r="F44" s="8" t="s">
        <v>48</v>
      </c>
      <c r="G44" t="str">
        <f t="shared" si="4"/>
        <v>38385.376</v>
      </c>
      <c r="H44" s="14">
        <f t="shared" si="5"/>
        <v>5034.5</v>
      </c>
      <c r="I44" s="23" t="s">
        <v>192</v>
      </c>
      <c r="J44" s="24" t="s">
        <v>193</v>
      </c>
      <c r="K44" s="23">
        <v>5034.5</v>
      </c>
      <c r="L44" s="23" t="s">
        <v>194</v>
      </c>
      <c r="M44" s="24" t="s">
        <v>133</v>
      </c>
      <c r="N44" s="24"/>
      <c r="O44" s="25" t="s">
        <v>148</v>
      </c>
      <c r="P44" s="25" t="s">
        <v>149</v>
      </c>
    </row>
    <row r="45" spans="1:16" ht="12.75" customHeight="1" x14ac:dyDescent="0.2">
      <c r="A45" s="14" t="str">
        <f t="shared" si="0"/>
        <v> MVS 4.62 </v>
      </c>
      <c r="B45" s="8" t="str">
        <f t="shared" si="1"/>
        <v>I</v>
      </c>
      <c r="C45" s="14">
        <f t="shared" si="2"/>
        <v>38398.267</v>
      </c>
      <c r="D45" t="str">
        <f t="shared" si="3"/>
        <v>vis</v>
      </c>
      <c r="E45">
        <f>VLOOKUP(C45,Active!C$21:E$973,3,FALSE)</f>
        <v>5041.0108776834159</v>
      </c>
      <c r="F45" s="8" t="s">
        <v>48</v>
      </c>
      <c r="G45" t="str">
        <f t="shared" si="4"/>
        <v>38398.267</v>
      </c>
      <c r="H45" s="14">
        <f t="shared" si="5"/>
        <v>5041</v>
      </c>
      <c r="I45" s="23" t="s">
        <v>195</v>
      </c>
      <c r="J45" s="24" t="s">
        <v>196</v>
      </c>
      <c r="K45" s="23">
        <v>5041</v>
      </c>
      <c r="L45" s="23" t="s">
        <v>197</v>
      </c>
      <c r="M45" s="24" t="s">
        <v>133</v>
      </c>
      <c r="N45" s="24"/>
      <c r="O45" s="25" t="s">
        <v>148</v>
      </c>
      <c r="P45" s="25" t="s">
        <v>149</v>
      </c>
    </row>
    <row r="46" spans="1:16" ht="12.75" customHeight="1" x14ac:dyDescent="0.2">
      <c r="A46" s="14" t="str">
        <f t="shared" si="0"/>
        <v> MVS 4.62 </v>
      </c>
      <c r="B46" s="8" t="str">
        <f t="shared" si="1"/>
        <v>II</v>
      </c>
      <c r="C46" s="14">
        <f t="shared" si="2"/>
        <v>38399.233</v>
      </c>
      <c r="D46" t="str">
        <f t="shared" si="3"/>
        <v>vis</v>
      </c>
      <c r="E46">
        <f>VLOOKUP(C46,Active!C$21:E$973,3,FALSE)</f>
        <v>5041.4990242122694</v>
      </c>
      <c r="F46" s="8" t="s">
        <v>48</v>
      </c>
      <c r="G46" t="str">
        <f t="shared" si="4"/>
        <v>38399.233</v>
      </c>
      <c r="H46" s="14">
        <f t="shared" si="5"/>
        <v>5041.5</v>
      </c>
      <c r="I46" s="23" t="s">
        <v>198</v>
      </c>
      <c r="J46" s="24" t="s">
        <v>199</v>
      </c>
      <c r="K46" s="23">
        <v>5041.5</v>
      </c>
      <c r="L46" s="23" t="s">
        <v>200</v>
      </c>
      <c r="M46" s="24" t="s">
        <v>133</v>
      </c>
      <c r="N46" s="24"/>
      <c r="O46" s="25" t="s">
        <v>148</v>
      </c>
      <c r="P46" s="25" t="s">
        <v>149</v>
      </c>
    </row>
    <row r="47" spans="1:16" ht="12.75" customHeight="1" x14ac:dyDescent="0.2">
      <c r="A47" s="14" t="str">
        <f t="shared" si="0"/>
        <v> MVS 4.62 </v>
      </c>
      <c r="B47" s="8" t="str">
        <f t="shared" si="1"/>
        <v>I</v>
      </c>
      <c r="C47" s="14">
        <f t="shared" si="2"/>
        <v>38643.603999999999</v>
      </c>
      <c r="D47" t="str">
        <f t="shared" si="3"/>
        <v>vis</v>
      </c>
      <c r="E47">
        <f>VLOOKUP(C47,Active!C$21:E$973,3,FALSE)</f>
        <v>5164.9864521651762</v>
      </c>
      <c r="F47" s="8" t="s">
        <v>48</v>
      </c>
      <c r="G47" t="str">
        <f t="shared" si="4"/>
        <v>38643.604</v>
      </c>
      <c r="H47" s="14">
        <f t="shared" si="5"/>
        <v>5165</v>
      </c>
      <c r="I47" s="23" t="s">
        <v>201</v>
      </c>
      <c r="J47" s="24" t="s">
        <v>202</v>
      </c>
      <c r="K47" s="23">
        <v>5165</v>
      </c>
      <c r="L47" s="23" t="s">
        <v>203</v>
      </c>
      <c r="M47" s="24" t="s">
        <v>133</v>
      </c>
      <c r="N47" s="24"/>
      <c r="O47" s="25" t="s">
        <v>148</v>
      </c>
      <c r="P47" s="25" t="s">
        <v>149</v>
      </c>
    </row>
    <row r="48" spans="1:16" ht="12.75" customHeight="1" x14ac:dyDescent="0.2">
      <c r="A48" s="14" t="str">
        <f t="shared" si="0"/>
        <v> MVS 4.62 </v>
      </c>
      <c r="B48" s="8" t="str">
        <f t="shared" si="1"/>
        <v>II</v>
      </c>
      <c r="C48" s="14">
        <f t="shared" si="2"/>
        <v>38652.550999999999</v>
      </c>
      <c r="D48" t="str">
        <f t="shared" si="3"/>
        <v>vis</v>
      </c>
      <c r="E48">
        <f>VLOOKUP(C48,Active!C$21:E$973,3,FALSE)</f>
        <v>5169.5076188252742</v>
      </c>
      <c r="F48" s="8" t="s">
        <v>48</v>
      </c>
      <c r="G48" t="str">
        <f t="shared" si="4"/>
        <v>38652.551</v>
      </c>
      <c r="H48" s="14">
        <f t="shared" si="5"/>
        <v>5169.5</v>
      </c>
      <c r="I48" s="23" t="s">
        <v>204</v>
      </c>
      <c r="J48" s="24" t="s">
        <v>205</v>
      </c>
      <c r="K48" s="23">
        <v>5169.5</v>
      </c>
      <c r="L48" s="23" t="s">
        <v>206</v>
      </c>
      <c r="M48" s="24" t="s">
        <v>133</v>
      </c>
      <c r="N48" s="24"/>
      <c r="O48" s="25" t="s">
        <v>148</v>
      </c>
      <c r="P48" s="25" t="s">
        <v>149</v>
      </c>
    </row>
    <row r="49" spans="1:16" ht="12.75" customHeight="1" x14ac:dyDescent="0.2">
      <c r="A49" s="14" t="str">
        <f t="shared" si="0"/>
        <v> MVS 4.62 </v>
      </c>
      <c r="B49" s="8" t="str">
        <f t="shared" si="1"/>
        <v>II</v>
      </c>
      <c r="C49" s="14">
        <f t="shared" si="2"/>
        <v>39026.535000000003</v>
      </c>
      <c r="D49" t="str">
        <f t="shared" si="3"/>
        <v>vis</v>
      </c>
      <c r="E49">
        <f>VLOOKUP(C49,Active!C$21:E$973,3,FALSE)</f>
        <v>5358.4920820207462</v>
      </c>
      <c r="F49" s="8" t="s">
        <v>48</v>
      </c>
      <c r="G49" t="str">
        <f t="shared" si="4"/>
        <v>39026.535</v>
      </c>
      <c r="H49" s="14">
        <f t="shared" si="5"/>
        <v>5358.5</v>
      </c>
      <c r="I49" s="23" t="s">
        <v>207</v>
      </c>
      <c r="J49" s="24" t="s">
        <v>208</v>
      </c>
      <c r="K49" s="23">
        <v>5358.5</v>
      </c>
      <c r="L49" s="23" t="s">
        <v>209</v>
      </c>
      <c r="M49" s="24" t="s">
        <v>133</v>
      </c>
      <c r="N49" s="24"/>
      <c r="O49" s="25" t="s">
        <v>148</v>
      </c>
      <c r="P49" s="25" t="s">
        <v>149</v>
      </c>
    </row>
    <row r="50" spans="1:16" ht="12.75" customHeight="1" x14ac:dyDescent="0.2">
      <c r="A50" s="14" t="str">
        <f t="shared" si="0"/>
        <v> MVS 4.62 </v>
      </c>
      <c r="B50" s="8" t="str">
        <f t="shared" si="1"/>
        <v>II</v>
      </c>
      <c r="C50" s="14">
        <f t="shared" si="2"/>
        <v>39028.512999999999</v>
      </c>
      <c r="D50" t="str">
        <f t="shared" si="3"/>
        <v>vis</v>
      </c>
      <c r="E50">
        <f>VLOOKUP(C50,Active!C$21:E$973,3,FALSE)</f>
        <v>5359.4916201512533</v>
      </c>
      <c r="F50" s="8" t="s">
        <v>48</v>
      </c>
      <c r="G50" t="str">
        <f t="shared" si="4"/>
        <v>39028.513</v>
      </c>
      <c r="H50" s="14">
        <f t="shared" si="5"/>
        <v>5359.5</v>
      </c>
      <c r="I50" s="23" t="s">
        <v>210</v>
      </c>
      <c r="J50" s="24" t="s">
        <v>211</v>
      </c>
      <c r="K50" s="23">
        <v>5359.5</v>
      </c>
      <c r="L50" s="23" t="s">
        <v>212</v>
      </c>
      <c r="M50" s="24" t="s">
        <v>133</v>
      </c>
      <c r="N50" s="24"/>
      <c r="O50" s="25" t="s">
        <v>148</v>
      </c>
      <c r="P50" s="25" t="s">
        <v>149</v>
      </c>
    </row>
    <row r="51" spans="1:16" ht="12.75" customHeight="1" x14ac:dyDescent="0.2">
      <c r="A51" s="14" t="str">
        <f t="shared" si="0"/>
        <v>BAVM 212 </v>
      </c>
      <c r="B51" s="8" t="str">
        <f t="shared" si="1"/>
        <v>II</v>
      </c>
      <c r="C51" s="14">
        <f t="shared" si="2"/>
        <v>55073.537400000001</v>
      </c>
      <c r="D51" t="str">
        <f t="shared" si="3"/>
        <v>vis</v>
      </c>
      <c r="E51">
        <f>VLOOKUP(C51,Active!C$21:E$973,3,FALSE)</f>
        <v>13467.486409212324</v>
      </c>
      <c r="F51" s="8" t="s">
        <v>48</v>
      </c>
      <c r="G51" t="str">
        <f t="shared" si="4"/>
        <v>55073.5374</v>
      </c>
      <c r="H51" s="14">
        <f t="shared" si="5"/>
        <v>13467.5</v>
      </c>
      <c r="I51" s="23" t="s">
        <v>213</v>
      </c>
      <c r="J51" s="24" t="s">
        <v>214</v>
      </c>
      <c r="K51" s="23" t="s">
        <v>215</v>
      </c>
      <c r="L51" s="23" t="s">
        <v>216</v>
      </c>
      <c r="M51" s="24" t="s">
        <v>95</v>
      </c>
      <c r="N51" s="24" t="s">
        <v>54</v>
      </c>
      <c r="O51" s="25" t="s">
        <v>217</v>
      </c>
      <c r="P51" s="26" t="s">
        <v>218</v>
      </c>
    </row>
    <row r="52" spans="1:16" ht="12.75" customHeight="1" x14ac:dyDescent="0.2">
      <c r="A52" s="14" t="str">
        <f t="shared" si="0"/>
        <v>BAVM 212 </v>
      </c>
      <c r="B52" s="8" t="str">
        <f t="shared" si="1"/>
        <v>I</v>
      </c>
      <c r="C52" s="14">
        <f t="shared" si="2"/>
        <v>55074.523300000001</v>
      </c>
      <c r="D52" t="str">
        <f t="shared" si="3"/>
        <v>vis</v>
      </c>
      <c r="E52">
        <f>VLOOKUP(C52,Active!C$21:E$973,3,FALSE)</f>
        <v>13467.984611761804</v>
      </c>
      <c r="F52" s="8" t="s">
        <v>48</v>
      </c>
      <c r="G52" t="str">
        <f t="shared" si="4"/>
        <v>55074.5233</v>
      </c>
      <c r="H52" s="14">
        <f t="shared" si="5"/>
        <v>13468</v>
      </c>
      <c r="I52" s="23" t="s">
        <v>219</v>
      </c>
      <c r="J52" s="24" t="s">
        <v>220</v>
      </c>
      <c r="K52" s="23" t="s">
        <v>221</v>
      </c>
      <c r="L52" s="23" t="s">
        <v>222</v>
      </c>
      <c r="M52" s="24" t="s">
        <v>95</v>
      </c>
      <c r="N52" s="24" t="s">
        <v>54</v>
      </c>
      <c r="O52" s="25" t="s">
        <v>217</v>
      </c>
      <c r="P52" s="26" t="s">
        <v>218</v>
      </c>
    </row>
  </sheetData>
  <sheetProtection selectLockedCells="1" selectUnlockedCells="1"/>
  <phoneticPr fontId="0" type="noConversion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51" r:id="rId15"/>
    <hyperlink ref="P52" r:id="rId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2024-03-02T07:25:04Z</dcterms:created>
  <dcterms:modified xsi:type="dcterms:W3CDTF">2024-03-02T07:25:04Z</dcterms:modified>
</cp:coreProperties>
</file>