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4D3530-B4B9-4F6D-8055-22EA36B016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0" i="1" l="1"/>
  <c r="D9" i="1"/>
  <c r="C9" i="1"/>
  <c r="Q27" i="1"/>
  <c r="Q24" i="1"/>
  <c r="Q23" i="1"/>
  <c r="G16" i="2"/>
  <c r="C16" i="2"/>
  <c r="G15" i="2"/>
  <c r="C15" i="2"/>
  <c r="G14" i="2"/>
  <c r="C14" i="2"/>
  <c r="G20" i="2"/>
  <c r="C20" i="2"/>
  <c r="G13" i="2"/>
  <c r="C13" i="2"/>
  <c r="G19" i="2"/>
  <c r="C19" i="2"/>
  <c r="G12" i="2"/>
  <c r="C12" i="2"/>
  <c r="G11" i="2"/>
  <c r="C11" i="2"/>
  <c r="G18" i="2"/>
  <c r="C18" i="2"/>
  <c r="G17" i="2"/>
  <c r="C17" i="2"/>
  <c r="H16" i="2"/>
  <c r="D16" i="2"/>
  <c r="B16" i="2"/>
  <c r="A16" i="2"/>
  <c r="H15" i="2"/>
  <c r="B15" i="2"/>
  <c r="D15" i="2"/>
  <c r="A15" i="2"/>
  <c r="H14" i="2"/>
  <c r="D14" i="2"/>
  <c r="B14" i="2"/>
  <c r="A14" i="2"/>
  <c r="H20" i="2"/>
  <c r="B20" i="2"/>
  <c r="D20" i="2"/>
  <c r="A20" i="2"/>
  <c r="H13" i="2"/>
  <c r="D13" i="2"/>
  <c r="B13" i="2"/>
  <c r="A13" i="2"/>
  <c r="H19" i="2"/>
  <c r="B19" i="2"/>
  <c r="D19" i="2"/>
  <c r="A19" i="2"/>
  <c r="H12" i="2"/>
  <c r="D12" i="2"/>
  <c r="B12" i="2"/>
  <c r="A12" i="2"/>
  <c r="H11" i="2"/>
  <c r="B11" i="2"/>
  <c r="D11" i="2"/>
  <c r="A11" i="2"/>
  <c r="H18" i="2"/>
  <c r="D18" i="2"/>
  <c r="B18" i="2"/>
  <c r="A18" i="2"/>
  <c r="H17" i="2"/>
  <c r="B17" i="2"/>
  <c r="D17" i="2"/>
  <c r="A17" i="2"/>
  <c r="Q34" i="1"/>
  <c r="Q25" i="1"/>
  <c r="Q33" i="1"/>
  <c r="F16" i="1"/>
  <c r="C17" i="1"/>
  <c r="Q32" i="1"/>
  <c r="Q28" i="1"/>
  <c r="Q31" i="1"/>
  <c r="Q29" i="1"/>
  <c r="Q26" i="1"/>
  <c r="Q21" i="1"/>
  <c r="C8" i="1"/>
  <c r="C7" i="1"/>
  <c r="E22" i="1"/>
  <c r="F22" i="1"/>
  <c r="Q22" i="1"/>
  <c r="E11" i="2"/>
  <c r="E16" i="2"/>
  <c r="E17" i="2"/>
  <c r="E15" i="2"/>
  <c r="E31" i="1"/>
  <c r="F31" i="1"/>
  <c r="E27" i="1"/>
  <c r="F27" i="1"/>
  <c r="G27" i="1"/>
  <c r="I27" i="1"/>
  <c r="G29" i="1"/>
  <c r="J29" i="1"/>
  <c r="E26" i="1"/>
  <c r="F26" i="1"/>
  <c r="G26" i="1"/>
  <c r="J26" i="1"/>
  <c r="G24" i="1"/>
  <c r="I24" i="1"/>
  <c r="E33" i="1"/>
  <c r="F33" i="1"/>
  <c r="G33" i="1"/>
  <c r="J33" i="1"/>
  <c r="E21" i="1"/>
  <c r="F21" i="1"/>
  <c r="E29" i="1"/>
  <c r="F29" i="1"/>
  <c r="E24" i="1"/>
  <c r="F24" i="1"/>
  <c r="E25" i="1"/>
  <c r="F25" i="1"/>
  <c r="G25" i="1"/>
  <c r="J25" i="1"/>
  <c r="E32" i="1"/>
  <c r="F32" i="1"/>
  <c r="G32" i="1"/>
  <c r="J32" i="1"/>
  <c r="U22" i="1"/>
  <c r="E30" i="1"/>
  <c r="F30" i="1"/>
  <c r="G30" i="1"/>
  <c r="J30" i="1"/>
  <c r="G31" i="1"/>
  <c r="J31" i="1"/>
  <c r="E28" i="1"/>
  <c r="F28" i="1"/>
  <c r="G28" i="1"/>
  <c r="J28" i="1"/>
  <c r="E23" i="1"/>
  <c r="F23" i="1"/>
  <c r="G23" i="1"/>
  <c r="I23" i="1"/>
  <c r="E34" i="1"/>
  <c r="F34" i="1"/>
  <c r="G34" i="1"/>
  <c r="J34" i="1"/>
  <c r="E14" i="2"/>
  <c r="U21" i="1"/>
  <c r="E19" i="2"/>
  <c r="E12" i="2"/>
  <c r="E18" i="2"/>
  <c r="E13" i="2"/>
  <c r="E20" i="2"/>
  <c r="C11" i="1"/>
  <c r="C12" i="1"/>
  <c r="C16" i="1" l="1"/>
  <c r="D18" i="1" s="1"/>
  <c r="O31" i="1"/>
  <c r="O30" i="1"/>
  <c r="C15" i="1"/>
  <c r="O21" i="1"/>
  <c r="O33" i="1"/>
  <c r="O27" i="1"/>
  <c r="O26" i="1"/>
  <c r="O32" i="1"/>
  <c r="O22" i="1"/>
  <c r="O25" i="1"/>
  <c r="O29" i="1"/>
  <c r="O23" i="1"/>
  <c r="O24" i="1"/>
  <c r="O34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<sst xmlns="http://schemas.openxmlformats.org/spreadsheetml/2006/main" count="168" uniqueCount="119">
  <si>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</si>
  <si>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</si>
  <si>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</si>
  <si>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</si>
  <si>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</si>
  <si>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</si>
  <si>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</si>
  <si>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</si>
  <si>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</si>
  <si>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</si>
  <si>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</si>
  <si>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</si>
  <si>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</si>
  <si>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</si>
  <si>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</si>
  <si>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</si>
  <si>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</si>
  <si>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</si>
  <si>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</si>
  <si>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</si>
  <si>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</si>
  <si>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</si>
  <si>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</si>
  <si>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</si>
  <si>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</si>
  <si>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</si>
  <si>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</si>
  <si>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</si>
  <si>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Cracow</t>
  </si>
  <si>
    <t>http://www.as.ap.krakow.pl/o-c/data/getdata.php3?HK%20per</t>
  </si>
  <si>
    <t>HK Per / GSC 02888-01910</t>
  </si>
  <si>
    <t>EA/SD</t>
  </si>
  <si>
    <t>Cracow database &gt;&gt;&gt;&gt;</t>
  </si>
  <si>
    <t>IBVS 5657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</si>
  <si>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</si>
  <si>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</si>
  <si>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</si>
  <si>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</si>
  <si>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</si>
  <si>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</si>
  <si>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</si>
  <si>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5871</t>
  </si>
  <si>
    <t>I</t>
  </si>
  <si>
    <t>OEJV 0107</t>
  </si>
  <si>
    <t>IBVS 5920</t>
  </si>
  <si>
    <t>Add cycle</t>
  </si>
  <si>
    <t>Old Cycle</t>
  </si>
  <si>
    <t>IBVS 5676</t>
  </si>
  <si>
    <t>IBVS 6011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</si>
  <si>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</si>
  <si>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</si>
  <si>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</si>
  <si>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</si>
  <si>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</si>
  <si>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</si>
  <si>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</si>
  <si>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</si>
  <si>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</si>
  <si>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</si>
  <si>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</si>
  <si>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</si>
  <si>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2452193.596 </t>
  </si>
  <si>
    <t> 11.10.2001 02:18 </t>
  </si>
  <si>
    <t> 0.085 </t>
  </si>
  <si>
    <t>E </t>
  </si>
  <si>
    <t>?</t>
  </si>
  <si>
    <t> R.Diethelm </t>
  </si>
  <si>
    <t> BBS 126 </t>
  </si>
  <si>
    <t>2452217.517 </t>
  </si>
  <si>
    <t> 04.11.2001 00:24 </t>
  </si>
  <si>
    <t> BBS 127 </t>
  </si>
  <si>
    <t>2452926.4399 </t>
  </si>
  <si>
    <t> 13.10.2003 22:33 </t>
  </si>
  <si>
    <t> 0.0839 </t>
  </si>
  <si>
    <t> L.Kotková &amp; M.Wolf </t>
  </si>
  <si>
    <t>IBVS 5676 </t>
  </si>
  <si>
    <t>2453387.4601 </t>
  </si>
  <si>
    <t> 16.01.2005 23:02 </t>
  </si>
  <si>
    <t> 0.0860 </t>
  </si>
  <si>
    <t>-I</t>
  </si>
  <si>
    <t> F.Agerer </t>
  </si>
  <si>
    <t>BAVM 173 </t>
  </si>
  <si>
    <t>2453985.4810 </t>
  </si>
  <si>
    <t> 06.09.2006 23:32 </t>
  </si>
  <si>
    <t>5171</t>
  </si>
  <si>
    <t> 0.0880 </t>
  </si>
  <si>
    <t>C </t>
  </si>
  <si>
    <t>R</t>
  </si>
  <si>
    <t> M.Lehky </t>
  </si>
  <si>
    <t>OEJV 0107 </t>
  </si>
  <si>
    <t>2454774.8653 </t>
  </si>
  <si>
    <t> 04.11.2008 08:46 </t>
  </si>
  <si>
    <t>5534</t>
  </si>
  <si>
    <t> 0.0874 </t>
  </si>
  <si>
    <t>IBVS 5871 </t>
  </si>
  <si>
    <t>2454831.4127 </t>
  </si>
  <si>
    <t> 30.12.2008 21:54 </t>
  </si>
  <si>
    <t>5560</t>
  </si>
  <si>
    <t> 0.0949 </t>
  </si>
  <si>
    <t>2455135.8551 </t>
  </si>
  <si>
    <t> 31.10.2009 08:31 </t>
  </si>
  <si>
    <t>5700</t>
  </si>
  <si>
    <t> 0.0913 </t>
  </si>
  <si>
    <t>IBVS 5920 </t>
  </si>
  <si>
    <t>2455883.9255 </t>
  </si>
  <si>
    <t> 18.11.2011 10:12 </t>
  </si>
  <si>
    <t>6044</t>
  </si>
  <si>
    <t> 0.0945 </t>
  </si>
  <si>
    <t>IBVS 6011 </t>
  </si>
  <si>
    <t>2456984.2846 </t>
  </si>
  <si>
    <t> 22.11.2014 18:49 </t>
  </si>
  <si>
    <t>6550</t>
  </si>
  <si>
    <t> 0.0989 </t>
  </si>
  <si>
    <t>o</t>
  </si>
  <si>
    <t> W.Moschner &amp; P.Frank </t>
  </si>
  <si>
    <t>BAVM 239 </t>
  </si>
  <si>
    <t>BAD?</t>
  </si>
  <si>
    <t>vis?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</si>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</sst>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HK Per - O-C Diagr.</a:t>
            </a:r>
          </a:p>
        </c:rich>
      </c:tx>
      <c:layout>
        <c:manualLayout>
          <c:xMode val="edge"/>
          <c:yMode val="edge"/>
          <c:x val="0.395543467930018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4827465906997"/>
          <c:y val="0.14723926380368099"/>
          <c:w val="0.8342624057864768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F-46F0-856E-C1DACAE87F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8.4941999994043726E-2</c:v>
                </c:pt>
                <c:pt idx="3">
                  <c:v>8.5187999997287989E-2</c:v>
                </c:pt>
                <c:pt idx="6">
                  <c:v>8.8005999998131301E-2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F-46F0-856E-C1DACAE87F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">
                  <c:v>8.3923999998660292E-2</c:v>
                </c:pt>
                <c:pt idx="5">
                  <c:v>8.5955999995348975E-2</c:v>
                </c:pt>
                <c:pt idx="7">
                  <c:v>8.8016000001516659E-2</c:v>
                </c:pt>
                <c:pt idx="8">
                  <c:v>8.7423999997554347E-2</c:v>
                </c:pt>
                <c:pt idx="9">
                  <c:v>9.4859999997424893E-2</c:v>
                </c:pt>
                <c:pt idx="10">
                  <c:v>9.4949999998789281E-2</c:v>
                </c:pt>
                <c:pt idx="11">
                  <c:v>9.1300000000046566E-2</c:v>
                </c:pt>
                <c:pt idx="12">
                  <c:v>9.4484000001102686E-2</c:v>
                </c:pt>
                <c:pt idx="13">
                  <c:v>9.8899999997229315E-2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F-46F0-856E-C1DACAE87F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F-46F0-856E-C1DACAE87F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F-46F0-856E-C1DACAE87F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F-46F0-856E-C1DACAE87F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4">
                    <c:v>1E-4</c:v>
                  </c:pt>
                  <c:pt idx="5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F-46F0-856E-C1DACAE87F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9.7410591193108492E-3</c:v>
                </c:pt>
                <c:pt idx="1">
                  <c:v>5.4599753218124963E-2</c:v>
                </c:pt>
                <c:pt idx="2">
                  <c:v>8.3505881775424839E-2</c:v>
                </c:pt>
                <c:pt idx="3">
                  <c:v>8.3579028178491388E-2</c:v>
                </c:pt>
                <c:pt idx="4">
                  <c:v>8.5746821578463722E-2</c:v>
                </c:pt>
                <c:pt idx="5">
                  <c:v>8.7156552255746353E-2</c:v>
                </c:pt>
                <c:pt idx="6">
                  <c:v>8.8985212332410135E-2</c:v>
                </c:pt>
                <c:pt idx="7">
                  <c:v>8.8985212332410135E-2</c:v>
                </c:pt>
                <c:pt idx="8">
                  <c:v>9.1399043633606319E-2</c:v>
                </c:pt>
                <c:pt idx="9">
                  <c:v>9.1571935131763635E-2</c:v>
                </c:pt>
                <c:pt idx="10">
                  <c:v>9.1571935131763635E-2</c:v>
                </c:pt>
                <c:pt idx="11">
                  <c:v>9.250288935261064E-2</c:v>
                </c:pt>
                <c:pt idx="12">
                  <c:v>9.4790376866691894E-2</c:v>
                </c:pt>
                <c:pt idx="13">
                  <c:v>9.8155111407753251E-2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F-46F0-856E-C1DACAE87FF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-6746</c:v>
                </c:pt>
                <c:pt idx="1">
                  <c:v>0</c:v>
                </c:pt>
                <c:pt idx="2">
                  <c:v>4347</c:v>
                </c:pt>
                <c:pt idx="3">
                  <c:v>4358</c:v>
                </c:pt>
                <c:pt idx="4">
                  <c:v>4684</c:v>
                </c:pt>
                <c:pt idx="5">
                  <c:v>4896</c:v>
                </c:pt>
                <c:pt idx="6">
                  <c:v>5171</c:v>
                </c:pt>
                <c:pt idx="7">
                  <c:v>5171</c:v>
                </c:pt>
                <c:pt idx="8">
                  <c:v>5534</c:v>
                </c:pt>
                <c:pt idx="9">
                  <c:v>5560</c:v>
                </c:pt>
                <c:pt idx="10">
                  <c:v>5560</c:v>
                </c:pt>
                <c:pt idx="11">
                  <c:v>5700</c:v>
                </c:pt>
                <c:pt idx="12">
                  <c:v>6044</c:v>
                </c:pt>
                <c:pt idx="13">
                  <c:v>6550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-1.1556000001291977E-2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F-46F0-856E-C1DACAE87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996408"/>
        <c:axId val="1"/>
      </c:scatterChart>
      <c:valAx>
        <c:axId val="783996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5376044568245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996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13106544133235"/>
          <c:y val="0.92024539877300615"/>
          <c:w val="0.7674100556371957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600075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985C6F-7886-4076-9D0C-0661F47B7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konkoly.hu/cgi-bin/IBVS?5676" TargetMode="External"/><Relationship Id="rId6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30</v>
      </c>
    </row>
    <row r="2" spans="1:6" s="27" customFormat="1" ht="12.95" customHeight="1" x14ac:dyDescent="0.2">
      <c r="A2" s="27" t="s">
        <v>24</v>
      </c>
      <c r="B2" s="28" t="s">
        <v>31</v>
      </c>
    </row>
    <row r="3" spans="1:6" s="27" customFormat="1" ht="12.95" customHeight="1" thickBot="1" x14ac:dyDescent="0.25">
      <c r="C3" s="29" t="s">
        <v>32</v>
      </c>
      <c r="D3" s="29"/>
      <c r="E3" s="29" t="s">
        <v>29</v>
      </c>
    </row>
    <row r="4" spans="1:6" s="27" customFormat="1" ht="12.95" customHeight="1" thickTop="1" thickBot="1" x14ac:dyDescent="0.25">
      <c r="A4" s="30" t="s">
        <v>0</v>
      </c>
      <c r="C4" s="31">
        <v>42740.464</v>
      </c>
      <c r="D4" s="32">
        <v>2.174614</v>
      </c>
    </row>
    <row r="5" spans="1:6" s="27" customFormat="1" ht="12.95" customHeight="1" thickTop="1" x14ac:dyDescent="0.2">
      <c r="A5" s="33" t="s">
        <v>34</v>
      </c>
      <c r="C5" s="34">
        <v>-9.5</v>
      </c>
      <c r="D5" s="27" t="s">
        <v>35</v>
      </c>
    </row>
    <row r="6" spans="1:6" s="27" customFormat="1" ht="12.95" customHeight="1" x14ac:dyDescent="0.2">
      <c r="A6" s="30" t="s">
        <v>1</v>
      </c>
    </row>
    <row r="7" spans="1:6" s="27" customFormat="1" ht="12.95" customHeight="1" x14ac:dyDescent="0.2">
      <c r="A7" s="27" t="s">
        <v>2</v>
      </c>
      <c r="C7" s="27">
        <f>+C4</f>
        <v>42740.464</v>
      </c>
    </row>
    <row r="8" spans="1:6" s="27" customFormat="1" ht="12.95" customHeight="1" x14ac:dyDescent="0.2">
      <c r="A8" s="27" t="s">
        <v>3</v>
      </c>
      <c r="C8" s="27">
        <f>+D4</f>
        <v>2.174614</v>
      </c>
    </row>
    <row r="9" spans="1:6" s="27" customFormat="1" ht="12.95" customHeight="1" x14ac:dyDescent="0.2">
      <c r="A9" s="35" t="s">
        <v>40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s="27" customFormat="1" ht="12.95" customHeight="1" thickBot="1" x14ac:dyDescent="0.25">
      <c r="C10" s="39" t="s">
        <v>20</v>
      </c>
      <c r="D10" s="39" t="s">
        <v>21</v>
      </c>
    </row>
    <row r="11" spans="1:6" s="27" customFormat="1" ht="12.95" customHeight="1" x14ac:dyDescent="0.2">
      <c r="A11" s="27" t="s">
        <v>16</v>
      </c>
      <c r="C11" s="38">
        <f ca="1">INTERCEPT(INDIRECT($D$9):G992,INDIRECT($C$9):F992)</f>
        <v>5.4599753218124963E-2</v>
      </c>
      <c r="D11" s="40"/>
    </row>
    <row r="12" spans="1:6" s="27" customFormat="1" ht="12.95" customHeight="1" x14ac:dyDescent="0.2">
      <c r="A12" s="27" t="s">
        <v>17</v>
      </c>
      <c r="C12" s="38">
        <f ca="1">SLOPE(INDIRECT($D$9):G992,INDIRECT($C$9):F992)</f>
        <v>6.6496730060501204E-6</v>
      </c>
      <c r="D12" s="40"/>
    </row>
    <row r="13" spans="1:6" s="27" customFormat="1" ht="12.95" customHeight="1" x14ac:dyDescent="0.2">
      <c r="A13" s="27" t="s">
        <v>19</v>
      </c>
      <c r="C13" s="40" t="s">
        <v>14</v>
      </c>
    </row>
    <row r="14" spans="1:6" s="27" customFormat="1" ht="12.95" customHeight="1" x14ac:dyDescent="0.2"/>
    <row r="15" spans="1:6" s="27" customFormat="1" ht="12.95" customHeight="1" x14ac:dyDescent="0.2">
      <c r="A15" s="41" t="s">
        <v>18</v>
      </c>
      <c r="C15" s="42">
        <f ca="1">(C7+C11)+(C8+C12)*INT(MAX(F21:F3533))</f>
        <v>56984.283855111411</v>
      </c>
      <c r="E15" s="29" t="s">
        <v>45</v>
      </c>
      <c r="F15" s="34">
        <v>1</v>
      </c>
    </row>
    <row r="16" spans="1:6" s="27" customFormat="1" ht="12.95" customHeight="1" x14ac:dyDescent="0.2">
      <c r="A16" s="30" t="s">
        <v>4</v>
      </c>
      <c r="C16" s="43">
        <f ca="1">+C8+C12</f>
        <v>2.1746206496730061</v>
      </c>
      <c r="E16" s="29" t="s">
        <v>36</v>
      </c>
      <c r="F16" s="44">
        <f ca="1">NOW()+15018.5+$C$5/24</f>
        <v>60372.715329861108</v>
      </c>
    </row>
    <row r="17" spans="1:21" s="27" customFormat="1" ht="12.95" customHeight="1" thickBot="1" x14ac:dyDescent="0.25">
      <c r="A17" s="29" t="s">
        <v>38</v>
      </c>
      <c r="C17" s="27">
        <f>COUNT(C21:C2191)</f>
        <v>14</v>
      </c>
      <c r="E17" s="29" t="s">
        <v>46</v>
      </c>
      <c r="F17" s="44">
        <f ca="1">ROUND(2*(F16-$C$7)/$C$8,0)/2+F15</f>
        <v>8109</v>
      </c>
    </row>
    <row r="18" spans="1:21" s="27" customFormat="1" ht="12.95" customHeight="1" thickTop="1" thickBot="1" x14ac:dyDescent="0.25">
      <c r="A18" s="30" t="s">
        <v>5</v>
      </c>
      <c r="C18" s="31">
        <f ca="1">+C15</f>
        <v>56984.283855111411</v>
      </c>
      <c r="D18" s="32">
        <f ca="1">+C16</f>
        <v>2.1746206496730061</v>
      </c>
      <c r="E18" s="29" t="s">
        <v>37</v>
      </c>
      <c r="F18" s="38">
        <f ca="1">ROUND(2*(F16-$C$15)/$C$16,0)/2+F15</f>
        <v>1559</v>
      </c>
    </row>
    <row r="19" spans="1:21" s="27" customFormat="1" ht="12.95" customHeight="1" thickTop="1" x14ac:dyDescent="0.2">
      <c r="E19" s="29" t="s">
        <v>39</v>
      </c>
      <c r="F19" s="45">
        <f ca="1">+$C$15+$C$16*F18-15018.5-$C$5/24</f>
        <v>45356.413281284964</v>
      </c>
    </row>
    <row r="20" spans="1:21" s="27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46" t="s">
        <v>12</v>
      </c>
      <c r="I20" s="46" t="s">
        <v>117</v>
      </c>
      <c r="J20" s="46" t="s">
        <v>52</v>
      </c>
      <c r="K20" s="46" t="s">
        <v>118</v>
      </c>
      <c r="L20" s="46" t="s">
        <v>25</v>
      </c>
      <c r="M20" s="46" t="s">
        <v>26</v>
      </c>
      <c r="N20" s="46" t="s">
        <v>27</v>
      </c>
      <c r="O20" s="46" t="s">
        <v>23</v>
      </c>
      <c r="P20" s="47" t="s">
        <v>22</v>
      </c>
      <c r="Q20" s="39" t="s">
        <v>15</v>
      </c>
      <c r="U20" s="48" t="s">
        <v>116</v>
      </c>
    </row>
    <row r="21" spans="1:21" s="27" customFormat="1" ht="12.95" customHeight="1" x14ac:dyDescent="0.2">
      <c r="A21" s="27" t="s">
        <v>28</v>
      </c>
      <c r="C21" s="49">
        <v>28070.506399999998</v>
      </c>
      <c r="D21" s="50"/>
      <c r="E21" s="27">
        <f t="shared" ref="E21:E34" si="0">+(C21-C$7)/C$8</f>
        <v>-6746.0053140465398</v>
      </c>
      <c r="F21" s="27">
        <f t="shared" ref="F21:F34" si="1">ROUND(2*E21,0)/2</f>
        <v>-6746</v>
      </c>
      <c r="O21" s="27">
        <f t="shared" ref="O21:O34" ca="1" si="2">+C$11+C$12*$F21</f>
        <v>9.7410591193108492E-3</v>
      </c>
      <c r="Q21" s="51">
        <f t="shared" ref="Q21:Q34" si="3">+C21-15018.5</f>
        <v>13052.006399999998</v>
      </c>
      <c r="U21" s="27">
        <f>+C21-(C$7+F21*C$8)</f>
        <v>-1.1556000001291977E-2</v>
      </c>
    </row>
    <row r="22" spans="1:21" s="27" customFormat="1" ht="12.95" customHeight="1" x14ac:dyDescent="0.2">
      <c r="A22" s="27" t="s">
        <v>12</v>
      </c>
      <c r="C22" s="50">
        <v>42740.464</v>
      </c>
      <c r="D22" s="50" t="s">
        <v>14</v>
      </c>
      <c r="E22" s="27">
        <f t="shared" si="0"/>
        <v>0</v>
      </c>
      <c r="F22" s="27">
        <f t="shared" si="1"/>
        <v>0</v>
      </c>
      <c r="O22" s="27">
        <f t="shared" ca="1" si="2"/>
        <v>5.4599753218124963E-2</v>
      </c>
      <c r="Q22" s="51">
        <f t="shared" si="3"/>
        <v>27721.964</v>
      </c>
      <c r="U22" s="27">
        <f>+C22-(C$7+F22*C$8)</f>
        <v>0</v>
      </c>
    </row>
    <row r="23" spans="1:21" s="27" customFormat="1" ht="12.95" customHeight="1" x14ac:dyDescent="0.2">
      <c r="A23" s="52" t="s">
        <v>67</v>
      </c>
      <c r="B23" s="53" t="s">
        <v>42</v>
      </c>
      <c r="C23" s="52">
        <v>52193.595999999998</v>
      </c>
      <c r="D23" s="50"/>
      <c r="E23" s="27">
        <f t="shared" si="0"/>
        <v>4347.0390607252584</v>
      </c>
      <c r="F23" s="27">
        <f t="shared" si="1"/>
        <v>4347</v>
      </c>
      <c r="G23" s="27">
        <f t="shared" ref="G23:G34" si="4">+C23-(C$7+F23*C$8)</f>
        <v>8.4941999994043726E-2</v>
      </c>
      <c r="I23" s="27">
        <f>+G23</f>
        <v>8.4941999994043726E-2</v>
      </c>
      <c r="O23" s="27">
        <f t="shared" ca="1" si="2"/>
        <v>8.3505881775424839E-2</v>
      </c>
      <c r="Q23" s="51">
        <f t="shared" si="3"/>
        <v>37175.095999999998</v>
      </c>
    </row>
    <row r="24" spans="1:21" s="27" customFormat="1" ht="12.95" customHeight="1" x14ac:dyDescent="0.2">
      <c r="A24" s="52" t="s">
        <v>70</v>
      </c>
      <c r="B24" s="53" t="s">
        <v>42</v>
      </c>
      <c r="C24" s="52">
        <v>52217.517</v>
      </c>
      <c r="D24" s="50"/>
      <c r="E24" s="27">
        <f t="shared" si="0"/>
        <v>4358.0391738487842</v>
      </c>
      <c r="F24" s="27">
        <f t="shared" si="1"/>
        <v>4358</v>
      </c>
      <c r="G24" s="27">
        <f t="shared" si="4"/>
        <v>8.5187999997287989E-2</v>
      </c>
      <c r="I24" s="27">
        <f>+G24</f>
        <v>8.5187999997287989E-2</v>
      </c>
      <c r="O24" s="27">
        <f t="shared" ca="1" si="2"/>
        <v>8.3579028178491388E-2</v>
      </c>
      <c r="Q24" s="51">
        <f t="shared" si="3"/>
        <v>37199.017</v>
      </c>
    </row>
    <row r="25" spans="1:21" s="27" customFormat="1" ht="12.95" customHeight="1" x14ac:dyDescent="0.2">
      <c r="A25" s="8" t="s">
        <v>47</v>
      </c>
      <c r="B25" s="9" t="s">
        <v>42</v>
      </c>
      <c r="C25" s="8">
        <v>52926.439899999998</v>
      </c>
      <c r="D25" s="8">
        <v>1E-4</v>
      </c>
      <c r="E25" s="27">
        <f t="shared" si="0"/>
        <v>4684.0385925962019</v>
      </c>
      <c r="F25" s="27">
        <f t="shared" si="1"/>
        <v>4684</v>
      </c>
      <c r="G25" s="27">
        <f t="shared" si="4"/>
        <v>8.3923999998660292E-2</v>
      </c>
      <c r="J25" s="27">
        <f>+G25</f>
        <v>8.3923999998660292E-2</v>
      </c>
      <c r="O25" s="27">
        <f t="shared" ca="1" si="2"/>
        <v>8.5746821578463722E-2</v>
      </c>
      <c r="Q25" s="51">
        <f t="shared" si="3"/>
        <v>37907.939899999998</v>
      </c>
    </row>
    <row r="26" spans="1:21" s="27" customFormat="1" ht="12.95" customHeight="1" x14ac:dyDescent="0.2">
      <c r="A26" s="10" t="s">
        <v>33</v>
      </c>
      <c r="B26" s="54"/>
      <c r="C26" s="8">
        <v>53387.460099999997</v>
      </c>
      <c r="D26" s="8">
        <v>5.0000000000000001E-4</v>
      </c>
      <c r="E26" s="27">
        <f t="shared" si="0"/>
        <v>4896.0395270149074</v>
      </c>
      <c r="F26" s="27">
        <f t="shared" si="1"/>
        <v>4896</v>
      </c>
      <c r="G26" s="27">
        <f t="shared" si="4"/>
        <v>8.5955999995348975E-2</v>
      </c>
      <c r="J26" s="27">
        <f>+G26</f>
        <v>8.5955999995348975E-2</v>
      </c>
      <c r="O26" s="27">
        <f t="shared" ca="1" si="2"/>
        <v>8.7156552255746353E-2</v>
      </c>
      <c r="Q26" s="51">
        <f t="shared" si="3"/>
        <v>38368.960099999997</v>
      </c>
    </row>
    <row r="27" spans="1:21" s="27" customFormat="1" ht="12.95" customHeight="1" x14ac:dyDescent="0.2">
      <c r="A27" s="52" t="s">
        <v>89</v>
      </c>
      <c r="B27" s="53" t="s">
        <v>42</v>
      </c>
      <c r="C27" s="52">
        <v>53985.481</v>
      </c>
      <c r="D27" s="40"/>
      <c r="E27" s="27">
        <f t="shared" si="0"/>
        <v>5171.0404697109461</v>
      </c>
      <c r="F27" s="27">
        <f t="shared" si="1"/>
        <v>5171</v>
      </c>
      <c r="G27" s="27">
        <f t="shared" si="4"/>
        <v>8.8005999998131301E-2</v>
      </c>
      <c r="I27" s="27">
        <f>+G27</f>
        <v>8.8005999998131301E-2</v>
      </c>
      <c r="O27" s="27">
        <f t="shared" ca="1" si="2"/>
        <v>8.8985212332410135E-2</v>
      </c>
      <c r="Q27" s="51">
        <f t="shared" si="3"/>
        <v>38966.981</v>
      </c>
    </row>
    <row r="28" spans="1:21" s="27" customFormat="1" ht="12.95" customHeight="1" x14ac:dyDescent="0.2">
      <c r="A28" s="10" t="s">
        <v>43</v>
      </c>
      <c r="B28" s="9" t="s">
        <v>42</v>
      </c>
      <c r="C28" s="8">
        <v>53985.481010000003</v>
      </c>
      <c r="D28" s="8">
        <v>2.0000000000000001E-4</v>
      </c>
      <c r="E28" s="27">
        <f t="shared" si="0"/>
        <v>5171.040474309465</v>
      </c>
      <c r="F28" s="27">
        <f t="shared" si="1"/>
        <v>5171</v>
      </c>
      <c r="G28" s="27">
        <f t="shared" si="4"/>
        <v>8.8016000001516659E-2</v>
      </c>
      <c r="J28" s="27">
        <f>+G28</f>
        <v>8.8016000001516659E-2</v>
      </c>
      <c r="O28" s="27">
        <f t="shared" ca="1" si="2"/>
        <v>8.8985212332410135E-2</v>
      </c>
      <c r="Q28" s="51">
        <f t="shared" si="3"/>
        <v>38966.981010000003</v>
      </c>
    </row>
    <row r="29" spans="1:21" s="27" customFormat="1" ht="12.95" customHeight="1" x14ac:dyDescent="0.2">
      <c r="A29" s="8" t="s">
        <v>41</v>
      </c>
      <c r="B29" s="9" t="s">
        <v>42</v>
      </c>
      <c r="C29" s="8">
        <v>54774.865299999998</v>
      </c>
      <c r="D29" s="8">
        <v>2.0000000000000001E-4</v>
      </c>
      <c r="E29" s="27">
        <f t="shared" si="0"/>
        <v>5534.0402020772408</v>
      </c>
      <c r="F29" s="27">
        <f t="shared" si="1"/>
        <v>5534</v>
      </c>
      <c r="G29" s="27">
        <f t="shared" si="4"/>
        <v>8.7423999997554347E-2</v>
      </c>
      <c r="J29" s="27">
        <f>+G29</f>
        <v>8.7423999997554347E-2</v>
      </c>
      <c r="O29" s="27">
        <f t="shared" ca="1" si="2"/>
        <v>9.1399043633606319E-2</v>
      </c>
      <c r="Q29" s="51">
        <f t="shared" si="3"/>
        <v>39756.365299999998</v>
      </c>
    </row>
    <row r="30" spans="1:21" s="27" customFormat="1" ht="12.95" customHeight="1" x14ac:dyDescent="0.2">
      <c r="A30" s="52" t="s">
        <v>89</v>
      </c>
      <c r="B30" s="53" t="s">
        <v>42</v>
      </c>
      <c r="C30" s="52">
        <v>54831.412700000001</v>
      </c>
      <c r="D30" s="40"/>
      <c r="E30" s="27">
        <f t="shared" si="0"/>
        <v>5560.0436215346726</v>
      </c>
      <c r="F30" s="27">
        <f t="shared" si="1"/>
        <v>5560</v>
      </c>
      <c r="G30" s="27">
        <f t="shared" si="4"/>
        <v>9.4859999997424893E-2</v>
      </c>
      <c r="J30" s="27">
        <f>+G30</f>
        <v>9.4859999997424893E-2</v>
      </c>
      <c r="O30" s="27">
        <f t="shared" ca="1" si="2"/>
        <v>9.1571935131763635E-2</v>
      </c>
      <c r="Q30" s="51">
        <f t="shared" si="3"/>
        <v>39812.912700000001</v>
      </c>
    </row>
    <row r="31" spans="1:21" x14ac:dyDescent="0.2">
      <c r="A31" s="11" t="s">
        <v>43</v>
      </c>
      <c r="B31" s="6" t="s">
        <v>42</v>
      </c>
      <c r="C31" s="7">
        <v>54831.412790000002</v>
      </c>
      <c r="D31" s="7">
        <v>2.0000000000000001E-4</v>
      </c>
      <c r="E31">
        <f t="shared" si="0"/>
        <v>5560.0436629213282</v>
      </c>
      <c r="F31">
        <f t="shared" si="1"/>
        <v>5560</v>
      </c>
      <c r="G31">
        <f t="shared" si="4"/>
        <v>9.4949999998789281E-2</v>
      </c>
      <c r="J31">
        <f>+G31</f>
        <v>9.4949999998789281E-2</v>
      </c>
      <c r="O31">
        <f t="shared" ca="1" si="2"/>
        <v>9.1571935131763635E-2</v>
      </c>
      <c r="Q31" s="2">
        <f t="shared" si="3"/>
        <v>39812.912790000002</v>
      </c>
    </row>
    <row r="32" spans="1:21" x14ac:dyDescent="0.2">
      <c r="A32" s="8" t="s">
        <v>44</v>
      </c>
      <c r="B32" s="9" t="s">
        <v>42</v>
      </c>
      <c r="C32" s="8">
        <v>55135.855100000001</v>
      </c>
      <c r="D32" s="8">
        <v>2.9999999999999997E-4</v>
      </c>
      <c r="E32">
        <f t="shared" si="0"/>
        <v>5700.0419844625303</v>
      </c>
      <c r="F32">
        <f t="shared" si="1"/>
        <v>5700</v>
      </c>
      <c r="G32">
        <f t="shared" si="4"/>
        <v>9.1300000000046566E-2</v>
      </c>
      <c r="J32">
        <f>+G32</f>
        <v>9.1300000000046566E-2</v>
      </c>
      <c r="O32">
        <f t="shared" ca="1" si="2"/>
        <v>9.250288935261064E-2</v>
      </c>
      <c r="Q32" s="2">
        <f t="shared" si="3"/>
        <v>40117.355100000001</v>
      </c>
    </row>
    <row r="33" spans="1:17" x14ac:dyDescent="0.2">
      <c r="A33" s="8" t="s">
        <v>48</v>
      </c>
      <c r="B33" s="9" t="s">
        <v>42</v>
      </c>
      <c r="C33" s="8">
        <v>55883.925499999998</v>
      </c>
      <c r="D33" s="8">
        <v>4.0000000000000002E-4</v>
      </c>
      <c r="E33">
        <f t="shared" si="0"/>
        <v>6044.0434486304221</v>
      </c>
      <c r="F33">
        <f t="shared" si="1"/>
        <v>6044</v>
      </c>
      <c r="G33">
        <f t="shared" si="4"/>
        <v>9.4484000001102686E-2</v>
      </c>
      <c r="J33">
        <f>+G33</f>
        <v>9.4484000001102686E-2</v>
      </c>
      <c r="O33">
        <f t="shared" ca="1" si="2"/>
        <v>9.4790376866691894E-2</v>
      </c>
      <c r="Q33" s="2">
        <f t="shared" si="3"/>
        <v>40865.425499999998</v>
      </c>
    </row>
    <row r="34" spans="1:17" x14ac:dyDescent="0.2">
      <c r="A34" s="12" t="s">
        <v>49</v>
      </c>
      <c r="B34" s="13"/>
      <c r="C34" s="12">
        <v>56984.284599999999</v>
      </c>
      <c r="D34" s="12">
        <v>2.9999999999999997E-4</v>
      </c>
      <c r="E34">
        <f t="shared" si="0"/>
        <v>6550.0454793356421</v>
      </c>
      <c r="F34">
        <f t="shared" si="1"/>
        <v>6550</v>
      </c>
      <c r="G34">
        <f t="shared" si="4"/>
        <v>9.8899999997229315E-2</v>
      </c>
      <c r="J34">
        <f>+G34</f>
        <v>9.8899999997229315E-2</v>
      </c>
      <c r="O34">
        <f t="shared" ca="1" si="2"/>
        <v>9.8155111407753251E-2</v>
      </c>
      <c r="Q34" s="2">
        <f t="shared" si="3"/>
        <v>41965.784599999999</v>
      </c>
    </row>
    <row r="35" spans="1:17" x14ac:dyDescent="0.2">
      <c r="B35" s="3"/>
      <c r="D35" s="3"/>
    </row>
    <row r="36" spans="1:17" x14ac:dyDescent="0.2">
      <c r="D36" s="3"/>
    </row>
    <row r="37" spans="1:17" x14ac:dyDescent="0.2">
      <c r="D37" s="3"/>
    </row>
    <row r="38" spans="1:17" x14ac:dyDescent="0.2">
      <c r="D38" s="3"/>
    </row>
    <row r="39" spans="1:17" x14ac:dyDescent="0.2">
      <c r="D39" s="3"/>
    </row>
    <row r="40" spans="1:17" x14ac:dyDescent="0.2">
      <c r="D40" s="3"/>
    </row>
    <row r="41" spans="1:17" x14ac:dyDescent="0.2">
      <c r="D41" s="3"/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workbookViewId="0">
      <selection activeCell="A17" sqref="A17:C20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4" t="s">
        <v>50</v>
      </c>
      <c r="I1" s="15" t="s">
        <v>51</v>
      </c>
      <c r="J1" s="16" t="s">
        <v>52</v>
      </c>
    </row>
    <row r="2" spans="1:16" x14ac:dyDescent="0.2">
      <c r="I2" s="17" t="s">
        <v>53</v>
      </c>
      <c r="J2" s="18" t="s">
        <v>54</v>
      </c>
    </row>
    <row r="3" spans="1:16" x14ac:dyDescent="0.2">
      <c r="A3" s="19" t="s">
        <v>55</v>
      </c>
      <c r="I3" s="17" t="s">
        <v>56</v>
      </c>
      <c r="J3" s="18" t="s">
        <v>57</v>
      </c>
    </row>
    <row r="4" spans="1:16" x14ac:dyDescent="0.2">
      <c r="I4" s="17" t="s">
        <v>58</v>
      </c>
      <c r="J4" s="18" t="s">
        <v>57</v>
      </c>
    </row>
    <row r="5" spans="1:16" ht="13.5" thickBot="1" x14ac:dyDescent="0.25">
      <c r="I5" s="20" t="s">
        <v>59</v>
      </c>
      <c r="J5" s="21" t="s">
        <v>60</v>
      </c>
    </row>
    <row r="10" spans="1:16" ht="13.5" thickBot="1" x14ac:dyDescent="0.25"/>
    <row r="11" spans="1:16" ht="12.75" customHeight="1" thickBot="1" x14ac:dyDescent="0.25">
      <c r="A11" s="4" t="str">
        <f t="shared" ref="A11:A20" si="0">P11</f>
        <v>IBVS 5676 </v>
      </c>
      <c r="B11" s="3" t="str">
        <f t="shared" ref="B11:B20" si="1">IF(H11=INT(H11),"I","II")</f>
        <v>I</v>
      </c>
      <c r="C11" s="4">
        <f t="shared" ref="C11:C20" si="2">1*G11</f>
        <v>52926.439899999998</v>
      </c>
      <c r="D11" s="5" t="str">
        <f t="shared" ref="D11:D20" si="3">VLOOKUP(F11,I$1:J$5,2,FALSE)</f>
        <v>vis</v>
      </c>
      <c r="E11" s="22">
        <f>VLOOKUP(C11,Active!C$21:E$973,3,FALSE)</f>
        <v>4684.0385925962019</v>
      </c>
      <c r="F11" s="3" t="s">
        <v>59</v>
      </c>
      <c r="G11" s="5" t="str">
        <f t="shared" ref="G11:G20" si="4">MID(I11,3,LEN(I11)-3)</f>
        <v>52926.4399</v>
      </c>
      <c r="H11" s="4">
        <f t="shared" ref="H11:H20" si="5">1*K11</f>
        <v>4684</v>
      </c>
      <c r="I11" s="23" t="s">
        <v>71</v>
      </c>
      <c r="J11" s="24" t="s">
        <v>72</v>
      </c>
      <c r="K11" s="23">
        <v>4684</v>
      </c>
      <c r="L11" s="23" t="s">
        <v>73</v>
      </c>
      <c r="M11" s="24" t="s">
        <v>64</v>
      </c>
      <c r="N11" s="24" t="s">
        <v>65</v>
      </c>
      <c r="O11" s="25" t="s">
        <v>74</v>
      </c>
      <c r="P11" s="26" t="s">
        <v>75</v>
      </c>
    </row>
    <row r="12" spans="1:16" ht="12.75" customHeight="1" thickBot="1" x14ac:dyDescent="0.25">
      <c r="A12" s="4" t="str">
        <f t="shared" si="0"/>
        <v>BAVM 173 </v>
      </c>
      <c r="B12" s="3" t="str">
        <f t="shared" si="1"/>
        <v>I</v>
      </c>
      <c r="C12" s="4">
        <f t="shared" si="2"/>
        <v>53387.460099999997</v>
      </c>
      <c r="D12" s="5" t="str">
        <f t="shared" si="3"/>
        <v>vis</v>
      </c>
      <c r="E12" s="22">
        <f>VLOOKUP(C12,Active!C$21:E$973,3,FALSE)</f>
        <v>4896.0395270149074</v>
      </c>
      <c r="F12" s="3" t="s">
        <v>59</v>
      </c>
      <c r="G12" s="5" t="str">
        <f t="shared" si="4"/>
        <v>53387.4601</v>
      </c>
      <c r="H12" s="4">
        <f t="shared" si="5"/>
        <v>4896</v>
      </c>
      <c r="I12" s="23" t="s">
        <v>76</v>
      </c>
      <c r="J12" s="24" t="s">
        <v>77</v>
      </c>
      <c r="K12" s="23">
        <v>4896</v>
      </c>
      <c r="L12" s="23" t="s">
        <v>78</v>
      </c>
      <c r="M12" s="24" t="s">
        <v>64</v>
      </c>
      <c r="N12" s="24" t="s">
        <v>79</v>
      </c>
      <c r="O12" s="25" t="s">
        <v>80</v>
      </c>
      <c r="P12" s="26" t="s">
        <v>81</v>
      </c>
    </row>
    <row r="13" spans="1:16" ht="12.75" customHeight="1" thickBot="1" x14ac:dyDescent="0.25">
      <c r="A13" s="4" t="str">
        <f t="shared" si="0"/>
        <v>IBVS 5871 </v>
      </c>
      <c r="B13" s="3" t="str">
        <f t="shared" si="1"/>
        <v>I</v>
      </c>
      <c r="C13" s="4">
        <f t="shared" si="2"/>
        <v>54774.865299999998</v>
      </c>
      <c r="D13" s="5" t="str">
        <f t="shared" si="3"/>
        <v>vis</v>
      </c>
      <c r="E13" s="22">
        <f>VLOOKUP(C13,Active!C$21:E$973,3,FALSE)</f>
        <v>5534.0402020772408</v>
      </c>
      <c r="F13" s="3" t="s">
        <v>59</v>
      </c>
      <c r="G13" s="5" t="str">
        <f t="shared" si="4"/>
        <v>54774.8653</v>
      </c>
      <c r="H13" s="4">
        <f t="shared" si="5"/>
        <v>5534</v>
      </c>
      <c r="I13" s="23" t="s">
        <v>90</v>
      </c>
      <c r="J13" s="24" t="s">
        <v>91</v>
      </c>
      <c r="K13" s="23" t="s">
        <v>92</v>
      </c>
      <c r="L13" s="23" t="s">
        <v>93</v>
      </c>
      <c r="M13" s="24" t="s">
        <v>86</v>
      </c>
      <c r="N13" s="24" t="s">
        <v>59</v>
      </c>
      <c r="O13" s="25" t="s">
        <v>66</v>
      </c>
      <c r="P13" s="26" t="s">
        <v>94</v>
      </c>
    </row>
    <row r="14" spans="1:16" ht="12.75" customHeight="1" thickBot="1" x14ac:dyDescent="0.25">
      <c r="A14" s="4" t="str">
        <f t="shared" si="0"/>
        <v>IBVS 5920 </v>
      </c>
      <c r="B14" s="3" t="str">
        <f t="shared" si="1"/>
        <v>I</v>
      </c>
      <c r="C14" s="4">
        <f t="shared" si="2"/>
        <v>55135.855100000001</v>
      </c>
      <c r="D14" s="5" t="str">
        <f t="shared" si="3"/>
        <v>vis</v>
      </c>
      <c r="E14" s="22">
        <f>VLOOKUP(C14,Active!C$21:E$973,3,FALSE)</f>
        <v>5700.0419844625303</v>
      </c>
      <c r="F14" s="3" t="s">
        <v>59</v>
      </c>
      <c r="G14" s="5" t="str">
        <f t="shared" si="4"/>
        <v>55135.8551</v>
      </c>
      <c r="H14" s="4">
        <f t="shared" si="5"/>
        <v>5700</v>
      </c>
      <c r="I14" s="23" t="s">
        <v>99</v>
      </c>
      <c r="J14" s="24" t="s">
        <v>100</v>
      </c>
      <c r="K14" s="23" t="s">
        <v>101</v>
      </c>
      <c r="L14" s="23" t="s">
        <v>102</v>
      </c>
      <c r="M14" s="24" t="s">
        <v>86</v>
      </c>
      <c r="N14" s="24" t="s">
        <v>59</v>
      </c>
      <c r="O14" s="25" t="s">
        <v>66</v>
      </c>
      <c r="P14" s="26" t="s">
        <v>103</v>
      </c>
    </row>
    <row r="15" spans="1:16" ht="12.75" customHeight="1" thickBot="1" x14ac:dyDescent="0.25">
      <c r="A15" s="4" t="str">
        <f t="shared" si="0"/>
        <v>IBVS 6011 </v>
      </c>
      <c r="B15" s="3" t="str">
        <f t="shared" si="1"/>
        <v>I</v>
      </c>
      <c r="C15" s="4">
        <f t="shared" si="2"/>
        <v>55883.925499999998</v>
      </c>
      <c r="D15" s="5" t="str">
        <f t="shared" si="3"/>
        <v>vis</v>
      </c>
      <c r="E15" s="22">
        <f>VLOOKUP(C15,Active!C$21:E$973,3,FALSE)</f>
        <v>6044.0434486304221</v>
      </c>
      <c r="F15" s="3" t="s">
        <v>59</v>
      </c>
      <c r="G15" s="5" t="str">
        <f t="shared" si="4"/>
        <v>55883.9255</v>
      </c>
      <c r="H15" s="4">
        <f t="shared" si="5"/>
        <v>6044</v>
      </c>
      <c r="I15" s="23" t="s">
        <v>104</v>
      </c>
      <c r="J15" s="24" t="s">
        <v>105</v>
      </c>
      <c r="K15" s="23" t="s">
        <v>106</v>
      </c>
      <c r="L15" s="23" t="s">
        <v>107</v>
      </c>
      <c r="M15" s="24" t="s">
        <v>86</v>
      </c>
      <c r="N15" s="24" t="s">
        <v>59</v>
      </c>
      <c r="O15" s="25" t="s">
        <v>66</v>
      </c>
      <c r="P15" s="26" t="s">
        <v>108</v>
      </c>
    </row>
    <row r="16" spans="1:16" ht="12.75" customHeight="1" thickBot="1" x14ac:dyDescent="0.25">
      <c r="A16" s="4" t="str">
        <f t="shared" si="0"/>
        <v>BAVM 239 </v>
      </c>
      <c r="B16" s="3" t="str">
        <f t="shared" si="1"/>
        <v>I</v>
      </c>
      <c r="C16" s="4">
        <f t="shared" si="2"/>
        <v>56984.284599999999</v>
      </c>
      <c r="D16" s="5" t="str">
        <f t="shared" si="3"/>
        <v>vis</v>
      </c>
      <c r="E16" s="22">
        <f>VLOOKUP(C16,Active!C$21:E$973,3,FALSE)</f>
        <v>6550.0454793356421</v>
      </c>
      <c r="F16" s="3" t="s">
        <v>59</v>
      </c>
      <c r="G16" s="5" t="str">
        <f t="shared" si="4"/>
        <v>56984.2846</v>
      </c>
      <c r="H16" s="4">
        <f t="shared" si="5"/>
        <v>6550</v>
      </c>
      <c r="I16" s="23" t="s">
        <v>109</v>
      </c>
      <c r="J16" s="24" t="s">
        <v>110</v>
      </c>
      <c r="K16" s="23" t="s">
        <v>111</v>
      </c>
      <c r="L16" s="23" t="s">
        <v>112</v>
      </c>
      <c r="M16" s="24" t="s">
        <v>86</v>
      </c>
      <c r="N16" s="24" t="s">
        <v>113</v>
      </c>
      <c r="O16" s="25" t="s">
        <v>114</v>
      </c>
      <c r="P16" s="26" t="s">
        <v>115</v>
      </c>
    </row>
    <row r="17" spans="1:16" ht="12.75" customHeight="1" thickBot="1" x14ac:dyDescent="0.25">
      <c r="A17" s="4" t="str">
        <f t="shared" si="0"/>
        <v> BBS 126 </v>
      </c>
      <c r="B17" s="3" t="str">
        <f t="shared" si="1"/>
        <v>I</v>
      </c>
      <c r="C17" s="4">
        <f t="shared" si="2"/>
        <v>52193.595999999998</v>
      </c>
      <c r="D17" s="5" t="str">
        <f t="shared" si="3"/>
        <v>vis</v>
      </c>
      <c r="E17" s="22">
        <f>VLOOKUP(C17,Active!C$21:E$973,3,FALSE)</f>
        <v>4347.0390607252584</v>
      </c>
      <c r="F17" s="3" t="s">
        <v>59</v>
      </c>
      <c r="G17" s="5" t="str">
        <f t="shared" si="4"/>
        <v>52193.596</v>
      </c>
      <c r="H17" s="4">
        <f t="shared" si="5"/>
        <v>4347</v>
      </c>
      <c r="I17" s="23" t="s">
        <v>61</v>
      </c>
      <c r="J17" s="24" t="s">
        <v>62</v>
      </c>
      <c r="K17" s="23">
        <v>4347</v>
      </c>
      <c r="L17" s="23" t="s">
        <v>63</v>
      </c>
      <c r="M17" s="24" t="s">
        <v>64</v>
      </c>
      <c r="N17" s="24" t="s">
        <v>65</v>
      </c>
      <c r="O17" s="25" t="s">
        <v>66</v>
      </c>
      <c r="P17" s="25" t="s">
        <v>67</v>
      </c>
    </row>
    <row r="18" spans="1:16" ht="12.75" customHeight="1" thickBot="1" x14ac:dyDescent="0.25">
      <c r="A18" s="4" t="str">
        <f t="shared" si="0"/>
        <v> BBS 127 </v>
      </c>
      <c r="B18" s="3" t="str">
        <f t="shared" si="1"/>
        <v>I</v>
      </c>
      <c r="C18" s="4">
        <f t="shared" si="2"/>
        <v>52217.517</v>
      </c>
      <c r="D18" s="5" t="str">
        <f t="shared" si="3"/>
        <v>vis</v>
      </c>
      <c r="E18" s="22">
        <f>VLOOKUP(C18,Active!C$21:E$973,3,FALSE)</f>
        <v>4358.0391738487842</v>
      </c>
      <c r="F18" s="3" t="s">
        <v>59</v>
      </c>
      <c r="G18" s="5" t="str">
        <f t="shared" si="4"/>
        <v>52217.517</v>
      </c>
      <c r="H18" s="4">
        <f t="shared" si="5"/>
        <v>4358</v>
      </c>
      <c r="I18" s="23" t="s">
        <v>68</v>
      </c>
      <c r="J18" s="24" t="s">
        <v>69</v>
      </c>
      <c r="K18" s="23">
        <v>4358</v>
      </c>
      <c r="L18" s="23" t="s">
        <v>63</v>
      </c>
      <c r="M18" s="24" t="s">
        <v>64</v>
      </c>
      <c r="N18" s="24" t="s">
        <v>65</v>
      </c>
      <c r="O18" s="25" t="s">
        <v>66</v>
      </c>
      <c r="P18" s="25" t="s">
        <v>70</v>
      </c>
    </row>
    <row r="19" spans="1:16" ht="12.75" customHeight="1" thickBot="1" x14ac:dyDescent="0.25">
      <c r="A19" s="4" t="str">
        <f t="shared" si="0"/>
        <v>OEJV 0107 </v>
      </c>
      <c r="B19" s="3" t="str">
        <f t="shared" si="1"/>
        <v>I</v>
      </c>
      <c r="C19" s="4">
        <f t="shared" si="2"/>
        <v>53985.481</v>
      </c>
      <c r="D19" s="5" t="str">
        <f t="shared" si="3"/>
        <v>vis</v>
      </c>
      <c r="E19" s="22">
        <f>VLOOKUP(C19,Active!C$21:E$973,3,FALSE)</f>
        <v>5171.0404697109461</v>
      </c>
      <c r="F19" s="3" t="s">
        <v>59</v>
      </c>
      <c r="G19" s="5" t="str">
        <f t="shared" si="4"/>
        <v>53985.4810</v>
      </c>
      <c r="H19" s="4">
        <f t="shared" si="5"/>
        <v>5171</v>
      </c>
      <c r="I19" s="23" t="s">
        <v>82</v>
      </c>
      <c r="J19" s="24" t="s">
        <v>83</v>
      </c>
      <c r="K19" s="23" t="s">
        <v>84</v>
      </c>
      <c r="L19" s="23" t="s">
        <v>85</v>
      </c>
      <c r="M19" s="24" t="s">
        <v>86</v>
      </c>
      <c r="N19" s="24" t="s">
        <v>87</v>
      </c>
      <c r="O19" s="25" t="s">
        <v>88</v>
      </c>
      <c r="P19" s="26" t="s">
        <v>89</v>
      </c>
    </row>
    <row r="20" spans="1:16" ht="12.75" customHeight="1" thickBot="1" x14ac:dyDescent="0.25">
      <c r="A20" s="4" t="str">
        <f t="shared" si="0"/>
        <v>OEJV 0107 </v>
      </c>
      <c r="B20" s="3" t="str">
        <f t="shared" si="1"/>
        <v>I</v>
      </c>
      <c r="C20" s="4">
        <f t="shared" si="2"/>
        <v>54831.412700000001</v>
      </c>
      <c r="D20" s="5" t="str">
        <f t="shared" si="3"/>
        <v>vis</v>
      </c>
      <c r="E20" s="22">
        <f>VLOOKUP(C20,Active!C$21:E$973,3,FALSE)</f>
        <v>5560.0436215346726</v>
      </c>
      <c r="F20" s="3" t="s">
        <v>59</v>
      </c>
      <c r="G20" s="5" t="str">
        <f t="shared" si="4"/>
        <v>54831.4127</v>
      </c>
      <c r="H20" s="4">
        <f t="shared" si="5"/>
        <v>5560</v>
      </c>
      <c r="I20" s="23" t="s">
        <v>95</v>
      </c>
      <c r="J20" s="24" t="s">
        <v>96</v>
      </c>
      <c r="K20" s="23" t="s">
        <v>97</v>
      </c>
      <c r="L20" s="23" t="s">
        <v>98</v>
      </c>
      <c r="M20" s="24" t="s">
        <v>86</v>
      </c>
      <c r="N20" s="24" t="s">
        <v>87</v>
      </c>
      <c r="O20" s="25" t="s">
        <v>88</v>
      </c>
      <c r="P20" s="26" t="s">
        <v>89</v>
      </c>
    </row>
    <row r="21" spans="1:16" x14ac:dyDescent="0.2">
      <c r="B21" s="3"/>
      <c r="E21" s="22"/>
      <c r="F21" s="3"/>
    </row>
    <row r="22" spans="1:16" x14ac:dyDescent="0.2">
      <c r="B22" s="3"/>
      <c r="E22" s="22"/>
      <c r="F22" s="3"/>
    </row>
    <row r="23" spans="1:16" x14ac:dyDescent="0.2">
      <c r="B23" s="3"/>
      <c r="E23" s="22"/>
      <c r="F23" s="3"/>
    </row>
    <row r="24" spans="1:16" x14ac:dyDescent="0.2">
      <c r="B24" s="3"/>
      <c r="E24" s="22"/>
      <c r="F24" s="3"/>
    </row>
    <row r="25" spans="1:16" x14ac:dyDescent="0.2">
      <c r="B25" s="3"/>
      <c r="E25" s="22"/>
      <c r="F25" s="3"/>
    </row>
    <row r="26" spans="1:16" x14ac:dyDescent="0.2">
      <c r="B26" s="3"/>
      <c r="E26" s="22"/>
      <c r="F26" s="3"/>
    </row>
    <row r="27" spans="1:16" x14ac:dyDescent="0.2">
      <c r="B27" s="3"/>
      <c r="E27" s="22"/>
      <c r="F27" s="3"/>
    </row>
    <row r="28" spans="1:16" x14ac:dyDescent="0.2">
      <c r="B28" s="3"/>
      <c r="E28" s="22"/>
      <c r="F28" s="3"/>
    </row>
    <row r="29" spans="1:16" x14ac:dyDescent="0.2">
      <c r="B29" s="3"/>
      <c r="E29" s="22"/>
      <c r="F29" s="3"/>
    </row>
    <row r="30" spans="1:16" x14ac:dyDescent="0.2">
      <c r="B30" s="3"/>
      <c r="E30" s="22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7" type="noConversion"/>
  <hyperlinks>
    <hyperlink ref="P11" r:id="rId1" display="http://www.konkoly.hu/cgi-bin/IBVS?5676"/>
    <hyperlink ref="P12" r:id="rId2" display="http://www.bav-astro.de/sfs/BAVM_link.php?BAVMnr=173"/>
    <hyperlink ref="P19" r:id="rId3" display="http://var.astro.cz/oejv/issues/oejv0107.pdf"/>
    <hyperlink ref="P13" r:id="rId4" display="http://www.konkoly.hu/cgi-bin/IBVS?5871"/>
    <hyperlink ref="P20" r:id="rId5" display="http://var.astro.cz/oejv/issues/oejv0107.pdf"/>
    <hyperlink ref="P14" r:id="rId6" display="http://www.konkoly.hu/cgi-bin/IBVS?5920"/>
    <hyperlink ref="P15" r:id="rId7" display="http://www.konkoly.hu/cgi-bin/IBVS?6011"/>
    <hyperlink ref="P16" r:id="rId8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2024-03-03T04:10:04Z</dcterms:modified>
</cp:coreProperties>
</file>