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B0B9965-F02B-4EE0-BEFB-BCC6CCD86F8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4" i="1" l="1"/>
  <c r="D9" i="1"/>
  <c r="C9" i="1"/>
  <c r="Q40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16" i="2"/>
  <c r="C16" i="2"/>
  <c r="G15" i="2"/>
  <c r="C15" i="2"/>
  <c r="G14" i="2"/>
  <c r="C14" i="2"/>
  <c r="G35" i="2"/>
  <c r="C35" i="2"/>
  <c r="G13" i="2"/>
  <c r="C13" i="2"/>
  <c r="G12" i="2"/>
  <c r="C12" i="2"/>
  <c r="G11" i="2"/>
  <c r="C11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G18" i="2"/>
  <c r="C18" i="2"/>
  <c r="G17" i="2"/>
  <c r="C17" i="2"/>
  <c r="H16" i="2"/>
  <c r="D16" i="2"/>
  <c r="B16" i="2"/>
  <c r="A16" i="2"/>
  <c r="H15" i="2"/>
  <c r="B15" i="2"/>
  <c r="D15" i="2"/>
  <c r="A15" i="2"/>
  <c r="H14" i="2"/>
  <c r="D14" i="2"/>
  <c r="B14" i="2"/>
  <c r="A14" i="2"/>
  <c r="H35" i="2"/>
  <c r="B35" i="2"/>
  <c r="D35" i="2"/>
  <c r="A35" i="2"/>
  <c r="H13" i="2"/>
  <c r="D13" i="2"/>
  <c r="B13" i="2"/>
  <c r="A13" i="2"/>
  <c r="H12" i="2"/>
  <c r="B12" i="2"/>
  <c r="D12" i="2"/>
  <c r="A12" i="2"/>
  <c r="H11" i="2"/>
  <c r="D11" i="2"/>
  <c r="B11" i="2"/>
  <c r="A11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Q47" i="1"/>
  <c r="Q41" i="1"/>
  <c r="Q43" i="1"/>
  <c r="Q45" i="1"/>
  <c r="Q46" i="1"/>
  <c r="F16" i="1"/>
  <c r="C17" i="1"/>
  <c r="Q42" i="1"/>
  <c r="C8" i="1"/>
  <c r="C7" i="1"/>
  <c r="E27" i="1"/>
  <c r="F27" i="1"/>
  <c r="Q39" i="1"/>
  <c r="Q21" i="1"/>
  <c r="E20" i="2"/>
  <c r="E14" i="2"/>
  <c r="E34" i="2"/>
  <c r="E11" i="2"/>
  <c r="E19" i="2"/>
  <c r="E24" i="2"/>
  <c r="E13" i="2"/>
  <c r="E35" i="2"/>
  <c r="E45" i="1"/>
  <c r="F45" i="1"/>
  <c r="E37" i="1"/>
  <c r="F37" i="1"/>
  <c r="G31" i="1"/>
  <c r="J31" i="1"/>
  <c r="E29" i="1"/>
  <c r="F29" i="1"/>
  <c r="E44" i="1"/>
  <c r="F44" i="1"/>
  <c r="U44" i="1"/>
  <c r="E24" i="1"/>
  <c r="F24" i="1"/>
  <c r="E41" i="1"/>
  <c r="F41" i="1"/>
  <c r="E34" i="1"/>
  <c r="F34" i="1"/>
  <c r="G34" i="1"/>
  <c r="J34" i="1"/>
  <c r="E26" i="1"/>
  <c r="F26" i="1"/>
  <c r="G26" i="1"/>
  <c r="J26" i="1"/>
  <c r="G41" i="1"/>
  <c r="K41" i="1"/>
  <c r="E47" i="1"/>
  <c r="F47" i="1"/>
  <c r="G47" i="1"/>
  <c r="K47" i="1"/>
  <c r="E40" i="1"/>
  <c r="F40" i="1"/>
  <c r="G40" i="1"/>
  <c r="J40" i="1"/>
  <c r="E31" i="1"/>
  <c r="F31" i="1"/>
  <c r="G25" i="1"/>
  <c r="J25" i="1"/>
  <c r="E23" i="1"/>
  <c r="F23" i="1"/>
  <c r="G23" i="1"/>
  <c r="J23" i="1"/>
  <c r="E43" i="1"/>
  <c r="F43" i="1"/>
  <c r="G43" i="1"/>
  <c r="K43" i="1"/>
  <c r="E36" i="1"/>
  <c r="F36" i="1"/>
  <c r="G36" i="1"/>
  <c r="J36" i="1"/>
  <c r="E28" i="1"/>
  <c r="F28" i="1"/>
  <c r="G28" i="1"/>
  <c r="J28" i="1"/>
  <c r="E32" i="1"/>
  <c r="F32" i="1"/>
  <c r="E21" i="1"/>
  <c r="F21" i="1"/>
  <c r="E39" i="1"/>
  <c r="F39" i="1"/>
  <c r="G39" i="1"/>
  <c r="I39" i="1"/>
  <c r="E33" i="1"/>
  <c r="F33" i="1"/>
  <c r="G33" i="1"/>
  <c r="J33" i="1"/>
  <c r="G27" i="1"/>
  <c r="J27" i="1"/>
  <c r="E25" i="1"/>
  <c r="F25" i="1"/>
  <c r="E46" i="1"/>
  <c r="F46" i="1"/>
  <c r="G46" i="1"/>
  <c r="K46" i="1"/>
  <c r="E38" i="1"/>
  <c r="F38" i="1"/>
  <c r="G38" i="1"/>
  <c r="G32" i="1"/>
  <c r="J32" i="1"/>
  <c r="E30" i="1"/>
  <c r="F30" i="1"/>
  <c r="G30" i="1"/>
  <c r="J30" i="1"/>
  <c r="G24" i="1"/>
  <c r="J24" i="1"/>
  <c r="E22" i="1"/>
  <c r="F22" i="1"/>
  <c r="G22" i="1"/>
  <c r="J22" i="1"/>
  <c r="G21" i="1"/>
  <c r="H21" i="1"/>
  <c r="G45" i="1"/>
  <c r="K45" i="1"/>
  <c r="E42" i="1"/>
  <c r="F42" i="1"/>
  <c r="G42" i="1"/>
  <c r="K42" i="1"/>
  <c r="G37" i="1"/>
  <c r="J37" i="1"/>
  <c r="E35" i="1"/>
  <c r="F35" i="1"/>
  <c r="G35" i="1"/>
  <c r="J35" i="1"/>
  <c r="G29" i="1"/>
  <c r="J29" i="1"/>
  <c r="J38" i="1"/>
  <c r="E29" i="2"/>
  <c r="E32" i="2"/>
  <c r="E30" i="2"/>
  <c r="E23" i="2"/>
  <c r="E31" i="2"/>
  <c r="E18" i="2"/>
  <c r="E16" i="2"/>
  <c r="E27" i="2"/>
  <c r="E33" i="2"/>
  <c r="E25" i="2"/>
  <c r="E17" i="2"/>
  <c r="E21" i="2"/>
  <c r="E28" i="2"/>
  <c r="E12" i="2"/>
  <c r="E15" i="2"/>
  <c r="E26" i="2"/>
  <c r="C12" i="1"/>
  <c r="C11" i="1"/>
  <c r="O47" i="1" l="1"/>
  <c r="O44" i="1"/>
  <c r="O42" i="1"/>
  <c r="O41" i="1"/>
  <c r="O45" i="1"/>
  <c r="O38" i="1"/>
  <c r="O46" i="1"/>
  <c r="O40" i="1"/>
  <c r="O43" i="1"/>
  <c r="O39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<sst xmlns="http://schemas.openxmlformats.org/spreadsheetml/2006/main" count="299" uniqueCount="163">
  <si>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</si>
  <si>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</si>
  <si>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</si>
  <si>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</si>
  <si>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</si>
  <si>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</si>
  <si>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</si>
  <si>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</si>
  <si>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</si>
  <si>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</si>
  <si>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</si>
  <si>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</si>
  <si>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</si>
  <si>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</si>
  <si>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</si>
  <si>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</si>
  <si>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</si>
  <si>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</si>
  <si>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</si>
  <si>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</si>
  <si>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</si>
  <si>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</si>
  <si>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</si>
  <si>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</si>
  <si>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</si>
  <si>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</si>
  <si>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</si>
  <si>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</si>
  <si>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EA/sd</t>
  </si>
  <si>
    <t>Sp:  na</t>
  </si>
  <si>
    <t>Guilbault</t>
  </si>
  <si>
    <t>private communication</t>
  </si>
  <si>
    <t># of data points:</t>
  </si>
  <si>
    <t>HV Per / gsc 2863-1148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</si>
  <si>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</si>
  <si>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</si>
  <si>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</si>
  <si>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</si>
  <si>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</si>
  <si>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</si>
  <si>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</si>
  <si>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</t>
  </si>
  <si>
    <t>pc</t>
  </si>
  <si>
    <t>Add cycle</t>
  </si>
  <si>
    <t>Old Cycle</t>
  </si>
  <si>
    <t>IBVS 5918</t>
  </si>
  <si>
    <t>IBVS 5992</t>
  </si>
  <si>
    <t>IBVS 6011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</si>
  <si>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</si>
  <si>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</si>
  <si>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</si>
  <si>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</si>
  <si>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</si>
  <si>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</si>
  <si>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</si>
  <si>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</si>
  <si>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</si>
  <si>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</si>
  <si>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</si>
  <si>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</si>
  <si>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2417834.40 </t>
  </si>
  <si>
    <t> 15.09.1907 21:36 </t>
  </si>
  <si>
    <t> 0.50 </t>
  </si>
  <si>
    <t>P </t>
  </si>
  <si>
    <t> N.E.Kurochkin </t>
  </si>
  <si>
    <t> PZ 6.203 </t>
  </si>
  <si>
    <t>2422999.54 </t>
  </si>
  <si>
    <t> 06.11.1921 00:57 </t>
  </si>
  <si>
    <t> 0.09 </t>
  </si>
  <si>
    <t> P.Shajn </t>
  </si>
  <si>
    <t> PZ 4.211 </t>
  </si>
  <si>
    <t>2426295.49 </t>
  </si>
  <si>
    <t> 14.11.1930 23:45 </t>
  </si>
  <si>
    <t> 0.01 </t>
  </si>
  <si>
    <t> L.Meinunger </t>
  </si>
  <si>
    <t> MVS 2.162 </t>
  </si>
  <si>
    <t>2426363.29 </t>
  </si>
  <si>
    <t> 21.01.1931 18:57 </t>
  </si>
  <si>
    <t> -0.12 </t>
  </si>
  <si>
    <t>2428835.50 </t>
  </si>
  <si>
    <t> 29.10.1937 00:00 </t>
  </si>
  <si>
    <t> 0.07 </t>
  </si>
  <si>
    <t>2429284.25 </t>
  </si>
  <si>
    <t> 20.01.1939 18:00 </t>
  </si>
  <si>
    <t> -0.10 </t>
  </si>
  <si>
    <t>2435814.42 </t>
  </si>
  <si>
    <t> 06.12.1956 22:04 </t>
  </si>
  <si>
    <t> 0.04 </t>
  </si>
  <si>
    <t>2436821.58 </t>
  </si>
  <si>
    <t> 10.09.1959 01:55 </t>
  </si>
  <si>
    <t> 0.08 </t>
  </si>
  <si>
    <t>2437577.55 </t>
  </si>
  <si>
    <t> 05.10.1961 01:12 </t>
  </si>
  <si>
    <t> -0.03 </t>
  </si>
  <si>
    <t>2437586.54 </t>
  </si>
  <si>
    <t> 14.10.1961 00:57 </t>
  </si>
  <si>
    <t> 0.10 </t>
  </si>
  <si>
    <t>2437648.48 </t>
  </si>
  <si>
    <t> 14.12.1961 23:31 </t>
  </si>
  <si>
    <t> 0.02 </t>
  </si>
  <si>
    <t>2437970.47 </t>
  </si>
  <si>
    <t> 01.11.1962 23:16 </t>
  </si>
  <si>
    <t>2438348.44 </t>
  </si>
  <si>
    <t> 14.11.1963 22:33 </t>
  </si>
  <si>
    <t>2438407.53 </t>
  </si>
  <si>
    <t> 13.01.1964 00:43 </t>
  </si>
  <si>
    <t>2438410.46 </t>
  </si>
  <si>
    <t> 15.01.1964 23:02 </t>
  </si>
  <si>
    <t>2438413.44 </t>
  </si>
  <si>
    <t> 18.01.1964 22:33 </t>
  </si>
  <si>
    <t>2446727.400 </t>
  </si>
  <si>
    <t> 23.10.1986 21:36 </t>
  </si>
  <si>
    <t> 0.094 </t>
  </si>
  <si>
    <t>V </t>
  </si>
  <si>
    <t> J.Borovicka </t>
  </si>
  <si>
    <t> BRNO 28 </t>
  </si>
  <si>
    <t>2451136.651 </t>
  </si>
  <si>
    <t> 19.11.1998 03:37 </t>
  </si>
  <si>
    <t> -0.126 </t>
  </si>
  <si>
    <t> P.Guilbault </t>
  </si>
  <si>
    <t> BBS 123 </t>
  </si>
  <si>
    <t>2453989.5311 </t>
  </si>
  <si>
    <t> 11.09.2006 00:44 </t>
  </si>
  <si>
    <t> -0.2590 </t>
  </si>
  <si>
    <t>C </t>
  </si>
  <si>
    <t>o</t>
  </si>
  <si>
    <t> W.Moschner &amp; P.Frank </t>
  </si>
  <si>
    <t>BAVM 209 </t>
  </si>
  <si>
    <t>2454509.3180 </t>
  </si>
  <si>
    <t> 12.02.2008 19:37 </t>
  </si>
  <si>
    <t> -0.2757 </t>
  </si>
  <si>
    <t>-I</t>
  </si>
  <si>
    <t> F.Agerer </t>
  </si>
  <si>
    <t>BAVM 201 </t>
  </si>
  <si>
    <t>2454828.2829 </t>
  </si>
  <si>
    <t> 27.12.2008 18:47 </t>
  </si>
  <si>
    <t>12526</t>
  </si>
  <si>
    <t> -0.2813 </t>
  </si>
  <si>
    <t>2454989.5311 </t>
  </si>
  <si>
    <t> 07.06.2009 00:44 </t>
  </si>
  <si>
    <t>12580.5</t>
  </si>
  <si>
    <t> 0.0050 </t>
  </si>
  <si>
    <t>2455563.6631 </t>
  </si>
  <si>
    <t> 02.01.2011 03:54 </t>
  </si>
  <si>
    <t>12775</t>
  </si>
  <si>
    <t> -0.3051 </t>
  </si>
  <si>
    <t> R.Diethelm </t>
  </si>
  <si>
    <t>IBVS 5992 </t>
  </si>
  <si>
    <t>2455867.8474 </t>
  </si>
  <si>
    <t> 02.11.2011 08:20 </t>
  </si>
  <si>
    <t>12878</t>
  </si>
  <si>
    <t> -0.3241 </t>
  </si>
  <si>
    <t>IBVS 6011 </t>
  </si>
  <si>
    <t>2455894.42774 </t>
  </si>
  <si>
    <t> 28.11.2011 22:15 </t>
  </si>
  <si>
    <t>12887</t>
  </si>
  <si>
    <t> -0.32467 </t>
  </si>
  <si>
    <t> J.Trnka </t>
  </si>
  <si>
    <t>OEJV 0160 </t>
  </si>
  <si>
    <t>II</t>
  </si>
  <si>
    <t>BAD?</t>
  </si>
  <si>
    <t>Likely eccentric orbit--sole 'bad' rading is secondary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</si>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</sst>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Per - O-C Diagr.</a:t>
            </a:r>
          </a:p>
        </c:rich>
      </c:tx>
      <c:layout>
        <c:manualLayout>
          <c:xMode val="edge"/>
          <c:yMode val="edge"/>
          <c:x val="0.3915581076382919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489468888551"/>
          <c:y val="0.14634168126798494"/>
          <c:w val="0.8253286841121442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</c:numCache>
            </c:numRef>
          </c:xVal>
          <c:yVal>
            <c:numRef>
              <c:f>Active!$H$21:$H$30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70-47CC-A531-E1DD929D86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17">
                    <c:v>0</c:v>
                  </c:pt>
                  <c:pt idx="19">
                    <c:v>1.5E-3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2.0000000000000001E-4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  <c:pt idx="18">
                  <c:v>-0.1258799999995972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70-47CC-A531-E1DD929D86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8">
                    <c:v>0</c:v>
                  </c:pt>
                  <c:pt idx="20">
                    <c:v>1.5E-3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8">
                    <c:v>0</c:v>
                  </c:pt>
                  <c:pt idx="20">
                    <c:v>1.5E-3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Active!$J$21:$J$50</c:f>
              <c:numCache>
                <c:formatCode>General</c:formatCode>
                <c:ptCount val="30"/>
                <c:pt idx="1">
                  <c:v>0.5</c:v>
                </c:pt>
                <c:pt idx="2">
                  <c:v>9.0929999998479616E-2</c:v>
                </c:pt>
                <c:pt idx="3">
                  <c:v>1.3049999997747364E-2</c:v>
                </c:pt>
                <c:pt idx="4">
                  <c:v>-0.11583999999857042</c:v>
                </c:pt>
                <c:pt idx="5">
                  <c:v>7.324999999764259E-2</c:v>
                </c:pt>
                <c:pt idx="6">
                  <c:v>-9.81099999989965E-2</c:v>
                </c:pt>
                <c:pt idx="7">
                  <c:v>3.8159999996423721E-2</c:v>
                </c:pt>
                <c:pt idx="8">
                  <c:v>7.8529999998863786E-2</c:v>
                </c:pt>
                <c:pt idx="9">
                  <c:v>-2.9549999999289867E-2</c:v>
                </c:pt>
                <c:pt idx="10">
                  <c:v>0.10015999999450287</c:v>
                </c:pt>
                <c:pt idx="11">
                  <c:v>1.8130000004020985E-2</c:v>
                </c:pt>
                <c:pt idx="12">
                  <c:v>8.4260000003268942E-2</c:v>
                </c:pt>
                <c:pt idx="13">
                  <c:v>1.5220000001136214E-2</c:v>
                </c:pt>
                <c:pt idx="14">
                  <c:v>3.6619999998947605E-2</c:v>
                </c:pt>
                <c:pt idx="15">
                  <c:v>1.3189999997848645E-2</c:v>
                </c:pt>
                <c:pt idx="16">
                  <c:v>3.9759999999660067E-2</c:v>
                </c:pt>
                <c:pt idx="17">
                  <c:v>9.4310000000405125E-2</c:v>
                </c:pt>
                <c:pt idx="19">
                  <c:v>-0.12568000000464963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70-47CC-A531-E1DD929D86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20">
                  <c:v>-0.25895999999920605</c:v>
                </c:pt>
                <c:pt idx="21">
                  <c:v>-0.27574000000458909</c:v>
                </c:pt>
                <c:pt idx="22">
                  <c:v>-0.28128000000288012</c:v>
                </c:pt>
                <c:pt idx="24">
                  <c:v>-0.3051500000001397</c:v>
                </c:pt>
                <c:pt idx="25">
                  <c:v>-0.32414000000426313</c:v>
                </c:pt>
                <c:pt idx="26">
                  <c:v>-0.32467000000178814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70-47CC-A531-E1DD929D86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70-47CC-A531-E1DD929D86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70-47CC-A531-E1DD929D86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70-47CC-A531-E1DD929D86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Active!$O$21:$O$50</c:f>
              <c:numCache>
                <c:formatCode>General</c:formatCode>
                <c:ptCount val="30"/>
                <c:pt idx="17">
                  <c:v>8.1858053405503117E-2</c:v>
                </c:pt>
                <c:pt idx="18">
                  <c:v>-0.11686390790331536</c:v>
                </c:pt>
                <c:pt idx="19">
                  <c:v>-0.11686390790331536</c:v>
                </c:pt>
                <c:pt idx="20">
                  <c:v>-0.24544087684123794</c:v>
                </c:pt>
                <c:pt idx="21">
                  <c:v>-0.26886690844897543</c:v>
                </c:pt>
                <c:pt idx="22">
                  <c:v>-0.283241973299178</c:v>
                </c:pt>
                <c:pt idx="23">
                  <c:v>-0.29049605695043756</c:v>
                </c:pt>
                <c:pt idx="24">
                  <c:v>-0.31638448392603391</c:v>
                </c:pt>
                <c:pt idx="25">
                  <c:v>-0.33009403651465297</c:v>
                </c:pt>
                <c:pt idx="26">
                  <c:v>-0.3312919585855032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70-47CC-A531-E1DD929D86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3">
                  <c:v>4.9849999995785765E-3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70-47CC-A531-E1DD929D8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207328"/>
        <c:axId val="1"/>
      </c:scatterChart>
      <c:valAx>
        <c:axId val="928207328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182313455359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20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39477434316341"/>
          <c:y val="0.92073298764483702"/>
          <c:w val="0.7496371687163558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Per - O-C Diagr.</a:t>
            </a:r>
          </a:p>
        </c:rich>
      </c:tx>
      <c:layout>
        <c:manualLayout>
          <c:xMode val="edge"/>
          <c:yMode val="edge"/>
          <c:x val="0.3909886772874320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962050300102"/>
          <c:y val="0.1458966565349544"/>
          <c:w val="0.8343029176954528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</c:numCache>
            </c:numRef>
          </c:xVal>
          <c:yVal>
            <c:numRef>
              <c:f>Active!$H$21:$H$30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67-4E74-BE99-C2145A7987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17">
                    <c:v>0</c:v>
                  </c:pt>
                  <c:pt idx="19">
                    <c:v>1.5E-3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2.0000000000000001E-4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  <c:pt idx="18">
                  <c:v>-0.1258799999995972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67-4E74-BE99-C2145A7987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8">
                    <c:v>0</c:v>
                  </c:pt>
                  <c:pt idx="20">
                    <c:v>1.5E-3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8">
                    <c:v>0</c:v>
                  </c:pt>
                  <c:pt idx="20">
                    <c:v>1.5E-3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  <c:pt idx="1">
                  <c:v>0.5</c:v>
                </c:pt>
                <c:pt idx="2">
                  <c:v>9.0929999998479616E-2</c:v>
                </c:pt>
                <c:pt idx="3">
                  <c:v>1.3049999997747364E-2</c:v>
                </c:pt>
                <c:pt idx="4">
                  <c:v>-0.11583999999857042</c:v>
                </c:pt>
                <c:pt idx="5">
                  <c:v>7.324999999764259E-2</c:v>
                </c:pt>
                <c:pt idx="6">
                  <c:v>-9.81099999989965E-2</c:v>
                </c:pt>
                <c:pt idx="7">
                  <c:v>3.8159999996423721E-2</c:v>
                </c:pt>
                <c:pt idx="8">
                  <c:v>7.8529999998863786E-2</c:v>
                </c:pt>
                <c:pt idx="9">
                  <c:v>-2.9549999999289867E-2</c:v>
                </c:pt>
                <c:pt idx="10">
                  <c:v>0.10015999999450287</c:v>
                </c:pt>
                <c:pt idx="11">
                  <c:v>1.8130000004020985E-2</c:v>
                </c:pt>
                <c:pt idx="12">
                  <c:v>8.4260000003268942E-2</c:v>
                </c:pt>
                <c:pt idx="13">
                  <c:v>1.5220000001136214E-2</c:v>
                </c:pt>
                <c:pt idx="14">
                  <c:v>3.6619999998947605E-2</c:v>
                </c:pt>
                <c:pt idx="15">
                  <c:v>1.3189999997848645E-2</c:v>
                </c:pt>
                <c:pt idx="16">
                  <c:v>3.9759999999660067E-2</c:v>
                </c:pt>
                <c:pt idx="17">
                  <c:v>9.4310000000405125E-2</c:v>
                </c:pt>
                <c:pt idx="19">
                  <c:v>-0.12568000000464963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67-4E74-BE99-C2145A7987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20">
                  <c:v>-0.25895999999920605</c:v>
                </c:pt>
                <c:pt idx="21">
                  <c:v>-0.27574000000458909</c:v>
                </c:pt>
                <c:pt idx="22">
                  <c:v>-0.28128000000288012</c:v>
                </c:pt>
                <c:pt idx="24">
                  <c:v>-0.3051500000001397</c:v>
                </c:pt>
                <c:pt idx="25">
                  <c:v>-0.32414000000426313</c:v>
                </c:pt>
                <c:pt idx="26">
                  <c:v>-0.32467000000178814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67-4E74-BE99-C2145A7987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67-4E74-BE99-C2145A7987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67-4E74-BE99-C2145A7987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67-4E74-BE99-C2145A7987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Active!$O$21:$O$50</c:f>
              <c:numCache>
                <c:formatCode>General</c:formatCode>
                <c:ptCount val="30"/>
                <c:pt idx="17">
                  <c:v>8.1858053405503117E-2</c:v>
                </c:pt>
                <c:pt idx="18">
                  <c:v>-0.11686390790331536</c:v>
                </c:pt>
                <c:pt idx="19">
                  <c:v>-0.11686390790331536</c:v>
                </c:pt>
                <c:pt idx="20">
                  <c:v>-0.24544087684123794</c:v>
                </c:pt>
                <c:pt idx="21">
                  <c:v>-0.26886690844897543</c:v>
                </c:pt>
                <c:pt idx="22">
                  <c:v>-0.283241973299178</c:v>
                </c:pt>
                <c:pt idx="23">
                  <c:v>-0.29049605695043756</c:v>
                </c:pt>
                <c:pt idx="24">
                  <c:v>-0.31638448392603391</c:v>
                </c:pt>
                <c:pt idx="25">
                  <c:v>-0.33009403651465297</c:v>
                </c:pt>
                <c:pt idx="26">
                  <c:v>-0.3312919585855032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67-4E74-BE99-C2145A7987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1749</c:v>
                </c:pt>
                <c:pt idx="3">
                  <c:v>2865</c:v>
                </c:pt>
                <c:pt idx="4">
                  <c:v>2888</c:v>
                </c:pt>
                <c:pt idx="5">
                  <c:v>3725</c:v>
                </c:pt>
                <c:pt idx="6">
                  <c:v>3877</c:v>
                </c:pt>
                <c:pt idx="7">
                  <c:v>6088</c:v>
                </c:pt>
                <c:pt idx="8">
                  <c:v>6429</c:v>
                </c:pt>
                <c:pt idx="9">
                  <c:v>6685</c:v>
                </c:pt>
                <c:pt idx="10">
                  <c:v>6688</c:v>
                </c:pt>
                <c:pt idx="11">
                  <c:v>6709</c:v>
                </c:pt>
                <c:pt idx="12">
                  <c:v>6818</c:v>
                </c:pt>
                <c:pt idx="13">
                  <c:v>6946</c:v>
                </c:pt>
                <c:pt idx="14">
                  <c:v>6966</c:v>
                </c:pt>
                <c:pt idx="15">
                  <c:v>6967</c:v>
                </c:pt>
                <c:pt idx="16">
                  <c:v>6968</c:v>
                </c:pt>
                <c:pt idx="17">
                  <c:v>9783</c:v>
                </c:pt>
                <c:pt idx="18">
                  <c:v>11276</c:v>
                </c:pt>
                <c:pt idx="19">
                  <c:v>11276</c:v>
                </c:pt>
                <c:pt idx="20">
                  <c:v>12242</c:v>
                </c:pt>
                <c:pt idx="21">
                  <c:v>12418</c:v>
                </c:pt>
                <c:pt idx="22">
                  <c:v>12526</c:v>
                </c:pt>
                <c:pt idx="23">
                  <c:v>12580.5</c:v>
                </c:pt>
                <c:pt idx="24">
                  <c:v>12775</c:v>
                </c:pt>
                <c:pt idx="25">
                  <c:v>12878</c:v>
                </c:pt>
                <c:pt idx="26">
                  <c:v>12887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3">
                  <c:v>4.9849999995785765E-3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67-4E74-BE99-C2145A79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040288"/>
        <c:axId val="1"/>
      </c:scatterChart>
      <c:valAx>
        <c:axId val="8780402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4914240371111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04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79085027162302"/>
          <c:y val="0.92097264437689974"/>
          <c:w val="0.7485469694195202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17</xdr:col>
      <xdr:colOff>381000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530E0A1-D089-C060-91C1-BF5BD7A8C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666750</xdr:colOff>
      <xdr:row>0</xdr:row>
      <xdr:rowOff>0</xdr:rowOff>
    </xdr:from>
    <xdr:to>
      <xdr:col>27</xdr:col>
      <xdr:colOff>361950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3E8C679-2B2A-013D-2C5E-DD7FD62D2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01" TargetMode="External"/><Relationship Id="rId1" Type="http://schemas.openxmlformats.org/officeDocument/2006/relationships/hyperlink" Target="http://www.bav-astro.de/sfs/BAVM_link.php?BAVMnr=209" TargetMode="External"/><Relationship Id="rId6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64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s="30" customFormat="1" ht="12.95" customHeight="1" x14ac:dyDescent="0.2">
      <c r="A2" s="30" t="s">
        <v>24</v>
      </c>
      <c r="B2" s="30" t="s">
        <v>28</v>
      </c>
      <c r="C2" s="31" t="s">
        <v>161</v>
      </c>
    </row>
    <row r="3" spans="1:6" s="30" customFormat="1" ht="12.95" customHeight="1" thickBot="1" x14ac:dyDescent="0.25">
      <c r="A3" s="30" t="s">
        <v>29</v>
      </c>
    </row>
    <row r="4" spans="1:6" s="30" customFormat="1" ht="12.95" customHeight="1" thickTop="1" thickBot="1" x14ac:dyDescent="0.25">
      <c r="A4" s="32" t="s">
        <v>0</v>
      </c>
      <c r="C4" s="33">
        <v>17833.900000000001</v>
      </c>
      <c r="D4" s="34">
        <v>2.95343</v>
      </c>
    </row>
    <row r="5" spans="1:6" s="30" customFormat="1" ht="12.95" customHeight="1" thickTop="1" x14ac:dyDescent="0.2">
      <c r="A5" s="35" t="s">
        <v>34</v>
      </c>
      <c r="C5" s="36">
        <v>-9.5</v>
      </c>
      <c r="D5" s="30" t="s">
        <v>35</v>
      </c>
    </row>
    <row r="6" spans="1:6" s="30" customFormat="1" ht="12.95" customHeight="1" x14ac:dyDescent="0.2">
      <c r="A6" s="32" t="s">
        <v>1</v>
      </c>
    </row>
    <row r="7" spans="1:6" s="30" customFormat="1" ht="12.95" customHeight="1" x14ac:dyDescent="0.2">
      <c r="A7" s="30" t="s">
        <v>2</v>
      </c>
      <c r="C7" s="30">
        <f>+C4</f>
        <v>17833.900000000001</v>
      </c>
    </row>
    <row r="8" spans="1:6" s="30" customFormat="1" ht="12.95" customHeight="1" x14ac:dyDescent="0.2">
      <c r="A8" s="30" t="s">
        <v>3</v>
      </c>
      <c r="C8" s="30">
        <f>+D4</f>
        <v>2.95343</v>
      </c>
    </row>
    <row r="9" spans="1:6" s="30" customFormat="1" ht="12.95" customHeight="1" x14ac:dyDescent="0.2">
      <c r="A9" s="37" t="s">
        <v>39</v>
      </c>
      <c r="B9" s="38">
        <v>38</v>
      </c>
      <c r="C9" s="39" t="str">
        <f>"F"&amp;B9</f>
        <v>F38</v>
      </c>
      <c r="D9" s="31" t="str">
        <f>"G"&amp;B9</f>
        <v>G38</v>
      </c>
    </row>
    <row r="10" spans="1:6" s="30" customFormat="1" ht="12.95" customHeight="1" thickBot="1" x14ac:dyDescent="0.25">
      <c r="C10" s="40" t="s">
        <v>20</v>
      </c>
      <c r="D10" s="40" t="s">
        <v>21</v>
      </c>
    </row>
    <row r="11" spans="1:6" s="30" customFormat="1" ht="12.95" customHeight="1" x14ac:dyDescent="0.2">
      <c r="A11" s="30" t="s">
        <v>16</v>
      </c>
      <c r="C11" s="31">
        <f ca="1">INTERCEPT(INDIRECT($D$9):G992,INDIRECT($C$9):F992)</f>
        <v>1.3839993444196836</v>
      </c>
      <c r="D11" s="41"/>
    </row>
    <row r="12" spans="1:6" s="30" customFormat="1" ht="12.95" customHeight="1" x14ac:dyDescent="0.2">
      <c r="A12" s="30" t="s">
        <v>17</v>
      </c>
      <c r="C12" s="31">
        <f ca="1">SLOPE(INDIRECT($D$9):G992,INDIRECT($C$9):F992)</f>
        <v>-1.3310245231669022E-4</v>
      </c>
      <c r="D12" s="41"/>
    </row>
    <row r="13" spans="1:6" s="30" customFormat="1" ht="12.95" customHeight="1" x14ac:dyDescent="0.2">
      <c r="A13" s="30" t="s">
        <v>19</v>
      </c>
      <c r="C13" s="41" t="s">
        <v>14</v>
      </c>
    </row>
    <row r="14" spans="1:6" s="30" customFormat="1" ht="12.95" customHeight="1" x14ac:dyDescent="0.2"/>
    <row r="15" spans="1:6" s="30" customFormat="1" ht="12.95" customHeight="1" x14ac:dyDescent="0.2">
      <c r="A15" s="42" t="s">
        <v>18</v>
      </c>
      <c r="C15" s="43">
        <f ca="1">(C7+C11)+(C8+C12)*INT(MAX(F21:F3533))</f>
        <v>55894.421118041413</v>
      </c>
      <c r="E15" s="44" t="s">
        <v>43</v>
      </c>
      <c r="F15" s="36">
        <v>1</v>
      </c>
    </row>
    <row r="16" spans="1:6" s="30" customFormat="1" ht="12.95" customHeight="1" x14ac:dyDescent="0.2">
      <c r="A16" s="32" t="s">
        <v>4</v>
      </c>
      <c r="C16" s="45">
        <f ca="1">+C8+C12</f>
        <v>2.9532968975476832</v>
      </c>
      <c r="E16" s="44" t="s">
        <v>36</v>
      </c>
      <c r="F16" s="46">
        <f ca="1">NOW()+15018.5+$C$5/24</f>
        <v>60372.718513310181</v>
      </c>
    </row>
    <row r="17" spans="1:21" s="30" customFormat="1" ht="12.95" customHeight="1" thickBot="1" x14ac:dyDescent="0.25">
      <c r="A17" s="44" t="s">
        <v>32</v>
      </c>
      <c r="C17" s="30">
        <f>COUNT(C21:C2191)</f>
        <v>27</v>
      </c>
      <c r="E17" s="44" t="s">
        <v>44</v>
      </c>
      <c r="F17" s="46">
        <f ca="1">ROUND(2*(F16-$C$7)/$C$8,0)/2+F15</f>
        <v>14404</v>
      </c>
    </row>
    <row r="18" spans="1:21" s="30" customFormat="1" ht="12.95" customHeight="1" thickTop="1" thickBot="1" x14ac:dyDescent="0.25">
      <c r="A18" s="32" t="s">
        <v>5</v>
      </c>
      <c r="C18" s="33">
        <f ca="1">+C15</f>
        <v>55894.421118041413</v>
      </c>
      <c r="D18" s="34">
        <f ca="1">+C16</f>
        <v>2.9532968975476832</v>
      </c>
      <c r="E18" s="44" t="s">
        <v>37</v>
      </c>
      <c r="F18" s="31">
        <f ca="1">ROUND(2*(F16-$C$15)/$C$16,0)/2+F15</f>
        <v>1517.5</v>
      </c>
    </row>
    <row r="19" spans="1:21" s="30" customFormat="1" ht="12.95" customHeight="1" thickTop="1" x14ac:dyDescent="0.2">
      <c r="E19" s="44" t="s">
        <v>38</v>
      </c>
      <c r="F19" s="47">
        <f ca="1">+$C$15+$C$16*F18-15018.5-$C$5/24</f>
        <v>45357.944993403355</v>
      </c>
    </row>
    <row r="20" spans="1:21" s="30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48" t="s">
        <v>12</v>
      </c>
      <c r="I20" s="48" t="s">
        <v>42</v>
      </c>
      <c r="J20" s="48" t="s">
        <v>162</v>
      </c>
      <c r="K20" s="48" t="s">
        <v>51</v>
      </c>
      <c r="L20" s="48" t="s">
        <v>25</v>
      </c>
      <c r="M20" s="48" t="s">
        <v>26</v>
      </c>
      <c r="N20" s="48" t="s">
        <v>27</v>
      </c>
      <c r="O20" s="48" t="s">
        <v>23</v>
      </c>
      <c r="P20" s="49" t="s">
        <v>22</v>
      </c>
      <c r="Q20" s="40" t="s">
        <v>15</v>
      </c>
      <c r="U20" s="50" t="s">
        <v>160</v>
      </c>
    </row>
    <row r="21" spans="1:21" s="30" customFormat="1" ht="12.95" customHeight="1" x14ac:dyDescent="0.2">
      <c r="A21" s="30" t="s">
        <v>12</v>
      </c>
      <c r="C21" s="51">
        <v>17833.900000000001</v>
      </c>
      <c r="D21" s="51" t="s">
        <v>14</v>
      </c>
      <c r="E21" s="30">
        <f t="shared" ref="E21:E47" si="0">+(C21-C$7)/C$8</f>
        <v>0</v>
      </c>
      <c r="F21" s="30">
        <f t="shared" ref="F21:F47" si="1">ROUND(2*E21,0)/2</f>
        <v>0</v>
      </c>
      <c r="G21" s="30">
        <f t="shared" ref="G21:G43" si="2">+C21-(C$7+F21*C$8)</f>
        <v>0</v>
      </c>
      <c r="H21" s="30">
        <f>+G21</f>
        <v>0</v>
      </c>
      <c r="Q21" s="52">
        <f t="shared" ref="Q21:Q47" si="3">+C21-15018.5</f>
        <v>2815.4000000000015</v>
      </c>
    </row>
    <row r="22" spans="1:21" s="30" customFormat="1" ht="12.95" customHeight="1" x14ac:dyDescent="0.2">
      <c r="A22" s="53" t="s">
        <v>65</v>
      </c>
      <c r="B22" s="54" t="s">
        <v>41</v>
      </c>
      <c r="C22" s="55">
        <v>17834.400000000001</v>
      </c>
      <c r="D22" s="51"/>
      <c r="E22" s="30">
        <f t="shared" si="0"/>
        <v>0.16929468448549653</v>
      </c>
      <c r="F22" s="30">
        <f t="shared" si="1"/>
        <v>0</v>
      </c>
      <c r="G22" s="30">
        <f t="shared" si="2"/>
        <v>0.5</v>
      </c>
      <c r="J22" s="30">
        <f>+G22</f>
        <v>0.5</v>
      </c>
      <c r="Q22" s="52">
        <f t="shared" si="3"/>
        <v>2815.9000000000015</v>
      </c>
    </row>
    <row r="23" spans="1:21" s="30" customFormat="1" ht="12.95" customHeight="1" x14ac:dyDescent="0.2">
      <c r="A23" s="53" t="s">
        <v>70</v>
      </c>
      <c r="B23" s="54" t="s">
        <v>41</v>
      </c>
      <c r="C23" s="55">
        <v>22999.54</v>
      </c>
      <c r="D23" s="51"/>
      <c r="E23" s="30">
        <f t="shared" si="0"/>
        <v>1749.0307879313204</v>
      </c>
      <c r="F23" s="30">
        <f t="shared" si="1"/>
        <v>1749</v>
      </c>
      <c r="G23" s="30">
        <f t="shared" si="2"/>
        <v>9.0929999998479616E-2</v>
      </c>
      <c r="J23" s="30">
        <f>+G23</f>
        <v>9.0929999998479616E-2</v>
      </c>
      <c r="Q23" s="52">
        <f t="shared" si="3"/>
        <v>7981.0400000000009</v>
      </c>
    </row>
    <row r="24" spans="1:21" s="30" customFormat="1" ht="12.95" customHeight="1" x14ac:dyDescent="0.2">
      <c r="A24" s="53" t="s">
        <v>75</v>
      </c>
      <c r="B24" s="54" t="s">
        <v>41</v>
      </c>
      <c r="C24" s="55">
        <v>26295.49</v>
      </c>
      <c r="D24" s="51"/>
      <c r="E24" s="30">
        <f t="shared" si="0"/>
        <v>2865.0044185912652</v>
      </c>
      <c r="F24" s="30">
        <f t="shared" si="1"/>
        <v>2865</v>
      </c>
      <c r="G24" s="30">
        <f t="shared" si="2"/>
        <v>1.3049999997747364E-2</v>
      </c>
      <c r="J24" s="30">
        <f>+G24</f>
        <v>1.3049999997747364E-2</v>
      </c>
      <c r="Q24" s="52">
        <f t="shared" si="3"/>
        <v>11276.990000000002</v>
      </c>
    </row>
    <row r="25" spans="1:21" s="30" customFormat="1" ht="12.95" customHeight="1" x14ac:dyDescent="0.2">
      <c r="A25" s="53" t="s">
        <v>75</v>
      </c>
      <c r="B25" s="54" t="s">
        <v>41</v>
      </c>
      <c r="C25" s="55">
        <v>26363.29</v>
      </c>
      <c r="D25" s="51"/>
      <c r="E25" s="30">
        <f t="shared" si="0"/>
        <v>2887.9607778074983</v>
      </c>
      <c r="F25" s="30">
        <f t="shared" si="1"/>
        <v>2888</v>
      </c>
      <c r="G25" s="30">
        <f t="shared" si="2"/>
        <v>-0.11583999999857042</v>
      </c>
      <c r="J25" s="30">
        <f>+G25</f>
        <v>-0.11583999999857042</v>
      </c>
      <c r="Q25" s="52">
        <f t="shared" si="3"/>
        <v>11344.79</v>
      </c>
    </row>
    <row r="26" spans="1:21" s="30" customFormat="1" ht="12.95" customHeight="1" x14ac:dyDescent="0.2">
      <c r="A26" s="53" t="s">
        <v>75</v>
      </c>
      <c r="B26" s="54" t="s">
        <v>41</v>
      </c>
      <c r="C26" s="55">
        <v>28835.5</v>
      </c>
      <c r="D26" s="51"/>
      <c r="E26" s="30">
        <f t="shared" si="0"/>
        <v>3725.0248016712767</v>
      </c>
      <c r="F26" s="30">
        <f t="shared" si="1"/>
        <v>3725</v>
      </c>
      <c r="G26" s="30">
        <f t="shared" si="2"/>
        <v>7.324999999764259E-2</v>
      </c>
      <c r="J26" s="30">
        <f>+G26</f>
        <v>7.324999999764259E-2</v>
      </c>
      <c r="Q26" s="52">
        <f t="shared" si="3"/>
        <v>13817</v>
      </c>
    </row>
    <row r="27" spans="1:21" s="30" customFormat="1" ht="12.95" customHeight="1" x14ac:dyDescent="0.2">
      <c r="A27" s="53" t="s">
        <v>65</v>
      </c>
      <c r="B27" s="54" t="s">
        <v>41</v>
      </c>
      <c r="C27" s="55">
        <v>29284.25</v>
      </c>
      <c r="D27" s="51"/>
      <c r="E27" s="30">
        <f t="shared" si="0"/>
        <v>3876.9667809970097</v>
      </c>
      <c r="F27" s="30">
        <f t="shared" si="1"/>
        <v>3877</v>
      </c>
      <c r="G27" s="30">
        <f t="shared" si="2"/>
        <v>-9.81099999989965E-2</v>
      </c>
      <c r="J27" s="30">
        <f>+G27</f>
        <v>-9.81099999989965E-2</v>
      </c>
      <c r="Q27" s="52">
        <f t="shared" si="3"/>
        <v>14265.75</v>
      </c>
    </row>
    <row r="28" spans="1:21" s="30" customFormat="1" ht="12.95" customHeight="1" x14ac:dyDescent="0.2">
      <c r="A28" s="53" t="s">
        <v>75</v>
      </c>
      <c r="B28" s="54" t="s">
        <v>41</v>
      </c>
      <c r="C28" s="55">
        <v>35814.42</v>
      </c>
      <c r="D28" s="51"/>
      <c r="E28" s="30">
        <f t="shared" si="0"/>
        <v>6088.0129205703188</v>
      </c>
      <c r="F28" s="30">
        <f t="shared" si="1"/>
        <v>6088</v>
      </c>
      <c r="G28" s="30">
        <f t="shared" si="2"/>
        <v>3.8159999996423721E-2</v>
      </c>
      <c r="J28" s="30">
        <f>+G28</f>
        <v>3.8159999996423721E-2</v>
      </c>
      <c r="Q28" s="52">
        <f t="shared" si="3"/>
        <v>20795.919999999998</v>
      </c>
    </row>
    <row r="29" spans="1:21" x14ac:dyDescent="0.2">
      <c r="A29" s="27" t="s">
        <v>75</v>
      </c>
      <c r="B29" s="29" t="s">
        <v>41</v>
      </c>
      <c r="C29" s="28">
        <v>36821.58</v>
      </c>
      <c r="D29" s="3"/>
      <c r="E29">
        <f t="shared" si="0"/>
        <v>6429.0265894231452</v>
      </c>
      <c r="F29">
        <f t="shared" si="1"/>
        <v>6429</v>
      </c>
      <c r="G29">
        <f t="shared" si="2"/>
        <v>7.8529999998863786E-2</v>
      </c>
      <c r="J29">
        <f>+G29</f>
        <v>7.8529999998863786E-2</v>
      </c>
      <c r="Q29" s="2">
        <f t="shared" si="3"/>
        <v>21803.08</v>
      </c>
    </row>
    <row r="30" spans="1:21" x14ac:dyDescent="0.2">
      <c r="A30" s="27" t="s">
        <v>75</v>
      </c>
      <c r="B30" s="29" t="s">
        <v>41</v>
      </c>
      <c r="C30" s="28">
        <v>37577.550000000003</v>
      </c>
      <c r="D30" s="3"/>
      <c r="E30">
        <f t="shared" si="0"/>
        <v>6684.989994684147</v>
      </c>
      <c r="F30">
        <f t="shared" si="1"/>
        <v>6685</v>
      </c>
      <c r="G30">
        <f t="shared" si="2"/>
        <v>-2.9549999999289867E-2</v>
      </c>
      <c r="J30">
        <f>+G30</f>
        <v>-2.9549999999289867E-2</v>
      </c>
      <c r="Q30" s="2">
        <f t="shared" si="3"/>
        <v>22559.050000000003</v>
      </c>
    </row>
    <row r="31" spans="1:21" x14ac:dyDescent="0.2">
      <c r="A31" s="27" t="s">
        <v>75</v>
      </c>
      <c r="B31" s="29" t="s">
        <v>41</v>
      </c>
      <c r="C31" s="28">
        <v>37586.54</v>
      </c>
      <c r="D31" s="3"/>
      <c r="E31">
        <f t="shared" si="0"/>
        <v>6688.0339131111959</v>
      </c>
      <c r="F31">
        <f t="shared" si="1"/>
        <v>6688</v>
      </c>
      <c r="G31">
        <f t="shared" si="2"/>
        <v>0.10015999999450287</v>
      </c>
      <c r="J31">
        <f>+G31</f>
        <v>0.10015999999450287</v>
      </c>
      <c r="Q31" s="2">
        <f t="shared" si="3"/>
        <v>22568.04</v>
      </c>
    </row>
    <row r="32" spans="1:21" x14ac:dyDescent="0.2">
      <c r="A32" s="27" t="s">
        <v>75</v>
      </c>
      <c r="B32" s="29" t="s">
        <v>41</v>
      </c>
      <c r="C32" s="28">
        <v>37648.480000000003</v>
      </c>
      <c r="D32" s="3"/>
      <c r="E32">
        <f t="shared" si="0"/>
        <v>6709.0061386252601</v>
      </c>
      <c r="F32">
        <f t="shared" si="1"/>
        <v>6709</v>
      </c>
      <c r="G32">
        <f t="shared" si="2"/>
        <v>1.8130000004020985E-2</v>
      </c>
      <c r="J32">
        <f>+G32</f>
        <v>1.8130000004020985E-2</v>
      </c>
      <c r="Q32" s="2">
        <f t="shared" si="3"/>
        <v>22629.980000000003</v>
      </c>
    </row>
    <row r="33" spans="1:24" x14ac:dyDescent="0.2">
      <c r="A33" s="27" t="s">
        <v>75</v>
      </c>
      <c r="B33" s="29" t="s">
        <v>41</v>
      </c>
      <c r="C33" s="28">
        <v>37970.47</v>
      </c>
      <c r="D33" s="3"/>
      <c r="E33">
        <f t="shared" si="0"/>
        <v>6818.0285295402291</v>
      </c>
      <c r="F33">
        <f t="shared" si="1"/>
        <v>6818</v>
      </c>
      <c r="G33">
        <f t="shared" si="2"/>
        <v>8.4260000003268942E-2</v>
      </c>
      <c r="J33">
        <f>+G33</f>
        <v>8.4260000003268942E-2</v>
      </c>
      <c r="Q33" s="2">
        <f t="shared" si="3"/>
        <v>22951.97</v>
      </c>
    </row>
    <row r="34" spans="1:24" x14ac:dyDescent="0.2">
      <c r="A34" s="27" t="s">
        <v>75</v>
      </c>
      <c r="B34" s="29" t="s">
        <v>41</v>
      </c>
      <c r="C34" s="28">
        <v>38348.44</v>
      </c>
      <c r="D34" s="3"/>
      <c r="E34">
        <f t="shared" si="0"/>
        <v>6946.0051533301958</v>
      </c>
      <c r="F34">
        <f t="shared" si="1"/>
        <v>6946</v>
      </c>
      <c r="G34">
        <f t="shared" si="2"/>
        <v>1.5220000001136214E-2</v>
      </c>
      <c r="J34">
        <f>+G34</f>
        <v>1.5220000001136214E-2</v>
      </c>
      <c r="Q34" s="2">
        <f t="shared" si="3"/>
        <v>23329.940000000002</v>
      </c>
    </row>
    <row r="35" spans="1:24" x14ac:dyDescent="0.2">
      <c r="A35" s="27" t="s">
        <v>75</v>
      </c>
      <c r="B35" s="29" t="s">
        <v>41</v>
      </c>
      <c r="C35" s="28">
        <v>38407.53</v>
      </c>
      <c r="D35" s="3"/>
      <c r="E35">
        <f t="shared" si="0"/>
        <v>6966.0123991426908</v>
      </c>
      <c r="F35">
        <f t="shared" si="1"/>
        <v>6966</v>
      </c>
      <c r="G35">
        <f t="shared" si="2"/>
        <v>3.6619999998947605E-2</v>
      </c>
      <c r="J35">
        <f>+G35</f>
        <v>3.6619999998947605E-2</v>
      </c>
      <c r="Q35" s="2">
        <f t="shared" si="3"/>
        <v>23389.03</v>
      </c>
    </row>
    <row r="36" spans="1:24" x14ac:dyDescent="0.2">
      <c r="A36" s="27" t="s">
        <v>75</v>
      </c>
      <c r="B36" s="29" t="s">
        <v>41</v>
      </c>
      <c r="C36" s="28">
        <v>38410.46</v>
      </c>
      <c r="D36" s="3"/>
      <c r="E36">
        <f t="shared" si="0"/>
        <v>6967.0044659937757</v>
      </c>
      <c r="F36">
        <f t="shared" si="1"/>
        <v>6967</v>
      </c>
      <c r="G36">
        <f t="shared" si="2"/>
        <v>1.3189999997848645E-2</v>
      </c>
      <c r="J36">
        <f>+G36</f>
        <v>1.3189999997848645E-2</v>
      </c>
      <c r="Q36" s="2">
        <f t="shared" si="3"/>
        <v>23391.96</v>
      </c>
    </row>
    <row r="37" spans="1:24" x14ac:dyDescent="0.2">
      <c r="A37" s="27" t="s">
        <v>75</v>
      </c>
      <c r="B37" s="29" t="s">
        <v>41</v>
      </c>
      <c r="C37" s="28">
        <v>38413.440000000002</v>
      </c>
      <c r="D37" s="3"/>
      <c r="E37">
        <f t="shared" si="0"/>
        <v>6968.0134623133108</v>
      </c>
      <c r="F37">
        <f t="shared" si="1"/>
        <v>6968</v>
      </c>
      <c r="G37">
        <f t="shared" si="2"/>
        <v>3.9759999999660067E-2</v>
      </c>
      <c r="J37">
        <f>+G37</f>
        <v>3.9759999999660067E-2</v>
      </c>
      <c r="Q37" s="2">
        <f t="shared" si="3"/>
        <v>23394.940000000002</v>
      </c>
    </row>
    <row r="38" spans="1:24" x14ac:dyDescent="0.2">
      <c r="A38" s="27" t="s">
        <v>115</v>
      </c>
      <c r="B38" s="29" t="s">
        <v>41</v>
      </c>
      <c r="C38" s="28">
        <v>46727.4</v>
      </c>
      <c r="D38" s="3"/>
      <c r="E38">
        <f t="shared" si="0"/>
        <v>9783.0319323633885</v>
      </c>
      <c r="F38">
        <f t="shared" si="1"/>
        <v>9783</v>
      </c>
      <c r="G38">
        <f t="shared" si="2"/>
        <v>9.4310000000405125E-2</v>
      </c>
      <c r="J38">
        <f>+G38</f>
        <v>9.4310000000405125E-2</v>
      </c>
      <c r="O38">
        <f t="shared" ref="O38:O47" ca="1" si="4">+C$11+C$12*F38</f>
        <v>8.1858053405503117E-2</v>
      </c>
      <c r="Q38" s="2">
        <f t="shared" si="3"/>
        <v>31708.9</v>
      </c>
    </row>
    <row r="39" spans="1:24" x14ac:dyDescent="0.2">
      <c r="A39" s="8" t="s">
        <v>30</v>
      </c>
      <c r="B39" s="8"/>
      <c r="C39" s="9">
        <v>51136.650800000003</v>
      </c>
      <c r="D39" s="9" t="s">
        <v>14</v>
      </c>
      <c r="E39">
        <f t="shared" si="0"/>
        <v>11275.957378370234</v>
      </c>
      <c r="F39">
        <f t="shared" si="1"/>
        <v>11276</v>
      </c>
      <c r="G39">
        <f t="shared" si="2"/>
        <v>-0.1258799999995972</v>
      </c>
      <c r="I39">
        <f>+G39</f>
        <v>-0.1258799999995972</v>
      </c>
      <c r="O39">
        <f t="shared" ca="1" si="4"/>
        <v>-0.11686390790331536</v>
      </c>
      <c r="Q39" s="2">
        <f t="shared" si="3"/>
        <v>36118.150800000003</v>
      </c>
      <c r="X39" t="s">
        <v>31</v>
      </c>
    </row>
    <row r="40" spans="1:24" x14ac:dyDescent="0.2">
      <c r="A40" s="27" t="s">
        <v>120</v>
      </c>
      <c r="B40" s="29" t="s">
        <v>41</v>
      </c>
      <c r="C40" s="28">
        <v>51136.650999999998</v>
      </c>
      <c r="D40" s="3"/>
      <c r="E40">
        <f t="shared" si="0"/>
        <v>11275.957446088107</v>
      </c>
      <c r="F40">
        <f t="shared" si="1"/>
        <v>11276</v>
      </c>
      <c r="G40">
        <f t="shared" si="2"/>
        <v>-0.12568000000464963</v>
      </c>
      <c r="J40">
        <f>+G40</f>
        <v>-0.12568000000464963</v>
      </c>
      <c r="O40">
        <f t="shared" ca="1" si="4"/>
        <v>-0.11686390790331536</v>
      </c>
      <c r="Q40" s="2">
        <f t="shared" si="3"/>
        <v>36118.150999999998</v>
      </c>
    </row>
    <row r="41" spans="1:24" x14ac:dyDescent="0.2">
      <c r="A41" s="10" t="s">
        <v>45</v>
      </c>
      <c r="B41" s="11" t="s">
        <v>41</v>
      </c>
      <c r="C41" s="10">
        <v>53989.5311</v>
      </c>
      <c r="D41" s="10">
        <v>1.5E-3</v>
      </c>
      <c r="E41">
        <f t="shared" si="0"/>
        <v>12241.912318897012</v>
      </c>
      <c r="F41">
        <f t="shared" si="1"/>
        <v>12242</v>
      </c>
      <c r="G41">
        <f t="shared" si="2"/>
        <v>-0.25895999999920605</v>
      </c>
      <c r="K41">
        <f>+G41</f>
        <v>-0.25895999999920605</v>
      </c>
      <c r="O41">
        <f t="shared" ca="1" si="4"/>
        <v>-0.24544087684123794</v>
      </c>
      <c r="Q41" s="2">
        <f t="shared" si="3"/>
        <v>38971.0311</v>
      </c>
    </row>
    <row r="42" spans="1:24" x14ac:dyDescent="0.2">
      <c r="A42" s="9" t="s">
        <v>40</v>
      </c>
      <c r="B42" s="12" t="s">
        <v>41</v>
      </c>
      <c r="C42" s="9">
        <v>54509.317999999999</v>
      </c>
      <c r="D42" s="9">
        <v>4.0000000000000002E-4</v>
      </c>
      <c r="E42">
        <f t="shared" si="0"/>
        <v>12417.9066373674</v>
      </c>
      <c r="F42">
        <f t="shared" si="1"/>
        <v>12418</v>
      </c>
      <c r="G42">
        <f t="shared" si="2"/>
        <v>-0.27574000000458909</v>
      </c>
      <c r="K42">
        <f>+G42</f>
        <v>-0.27574000000458909</v>
      </c>
      <c r="O42">
        <f t="shared" ca="1" si="4"/>
        <v>-0.26886690844897543</v>
      </c>
      <c r="Q42" s="2">
        <f t="shared" si="3"/>
        <v>39490.817999999999</v>
      </c>
    </row>
    <row r="43" spans="1:24" x14ac:dyDescent="0.2">
      <c r="A43" s="10" t="s">
        <v>45</v>
      </c>
      <c r="B43" s="11" t="s">
        <v>41</v>
      </c>
      <c r="C43" s="10">
        <v>54828.282899999998</v>
      </c>
      <c r="D43" s="10">
        <v>2.0000000000000001E-4</v>
      </c>
      <c r="E43">
        <f t="shared" si="0"/>
        <v>12525.904761582295</v>
      </c>
      <c r="F43">
        <f t="shared" si="1"/>
        <v>12526</v>
      </c>
      <c r="G43">
        <f t="shared" si="2"/>
        <v>-0.28128000000288012</v>
      </c>
      <c r="K43">
        <f>+G43</f>
        <v>-0.28128000000288012</v>
      </c>
      <c r="O43">
        <f t="shared" ca="1" si="4"/>
        <v>-0.283241973299178</v>
      </c>
      <c r="Q43" s="2">
        <f t="shared" si="3"/>
        <v>39809.782899999998</v>
      </c>
    </row>
    <row r="44" spans="1:24" x14ac:dyDescent="0.2">
      <c r="A44" s="27" t="s">
        <v>127</v>
      </c>
      <c r="B44" s="29" t="s">
        <v>159</v>
      </c>
      <c r="C44" s="28">
        <v>54989.5311</v>
      </c>
      <c r="D44" s="3"/>
      <c r="E44">
        <f t="shared" si="0"/>
        <v>12580.501687868004</v>
      </c>
      <c r="F44">
        <f t="shared" si="1"/>
        <v>12580.5</v>
      </c>
      <c r="O44">
        <f t="shared" ca="1" si="4"/>
        <v>-0.29049605695043756</v>
      </c>
      <c r="Q44" s="2">
        <f t="shared" si="3"/>
        <v>39971.0311</v>
      </c>
      <c r="U44">
        <f>+C44-(C$7+F44*C$8)</f>
        <v>4.9849999995785765E-3</v>
      </c>
    </row>
    <row r="45" spans="1:24" x14ac:dyDescent="0.2">
      <c r="A45" s="10" t="s">
        <v>46</v>
      </c>
      <c r="B45" s="11" t="s">
        <v>41</v>
      </c>
      <c r="C45" s="10">
        <v>55563.663099999998</v>
      </c>
      <c r="D45" s="10">
        <v>8.9999999999999998E-4</v>
      </c>
      <c r="E45">
        <f t="shared" si="0"/>
        <v>12774.896679454057</v>
      </c>
      <c r="F45">
        <f t="shared" si="1"/>
        <v>12775</v>
      </c>
      <c r="G45">
        <f>+C45-(C$7+F45*C$8)</f>
        <v>-0.3051500000001397</v>
      </c>
      <c r="K45">
        <f>+G45</f>
        <v>-0.3051500000001397</v>
      </c>
      <c r="O45">
        <f t="shared" ca="1" si="4"/>
        <v>-0.31638448392603391</v>
      </c>
      <c r="Q45" s="2">
        <f t="shared" si="3"/>
        <v>40545.163099999998</v>
      </c>
    </row>
    <row r="46" spans="1:24" x14ac:dyDescent="0.2">
      <c r="A46" s="10" t="s">
        <v>47</v>
      </c>
      <c r="B46" s="11" t="s">
        <v>41</v>
      </c>
      <c r="C46" s="10">
        <v>55867.847399999999</v>
      </c>
      <c r="D46" s="10">
        <v>4.0000000000000002E-4</v>
      </c>
      <c r="E46">
        <f t="shared" si="0"/>
        <v>12877.890249641941</v>
      </c>
      <c r="F46">
        <f t="shared" si="1"/>
        <v>12878</v>
      </c>
      <c r="G46">
        <f>+C46-(C$7+F46*C$8)</f>
        <v>-0.32414000000426313</v>
      </c>
      <c r="K46">
        <f>+G46</f>
        <v>-0.32414000000426313</v>
      </c>
      <c r="O46">
        <f t="shared" ca="1" si="4"/>
        <v>-0.33009403651465297</v>
      </c>
      <c r="Q46" s="2">
        <f t="shared" si="3"/>
        <v>40849.347399999999</v>
      </c>
    </row>
    <row r="47" spans="1:24" x14ac:dyDescent="0.2">
      <c r="A47" s="13" t="s">
        <v>48</v>
      </c>
      <c r="B47" s="7" t="s">
        <v>41</v>
      </c>
      <c r="C47" s="6">
        <v>55894.427739999999</v>
      </c>
      <c r="D47" s="6">
        <v>2.0000000000000001E-4</v>
      </c>
      <c r="E47">
        <f t="shared" si="0"/>
        <v>12886.890070189575</v>
      </c>
      <c r="F47">
        <f t="shared" si="1"/>
        <v>12887</v>
      </c>
      <c r="G47">
        <f>+C47-(C$7+F47*C$8)</f>
        <v>-0.32467000000178814</v>
      </c>
      <c r="K47">
        <f>+G47</f>
        <v>-0.32467000000178814</v>
      </c>
      <c r="O47">
        <f t="shared" ca="1" si="4"/>
        <v>-0.3312919585855032</v>
      </c>
      <c r="Q47" s="2">
        <f t="shared" si="3"/>
        <v>40875.927739999999</v>
      </c>
    </row>
    <row r="48" spans="1:2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1"/>
  <sheetViews>
    <sheetView workbookViewId="0">
      <selection activeCell="A17" sqref="A17:C35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4" t="s">
        <v>49</v>
      </c>
      <c r="I1" s="15" t="s">
        <v>50</v>
      </c>
      <c r="J1" s="16" t="s">
        <v>51</v>
      </c>
    </row>
    <row r="2" spans="1:16" x14ac:dyDescent="0.2">
      <c r="I2" s="17" t="s">
        <v>52</v>
      </c>
      <c r="J2" s="18" t="s">
        <v>53</v>
      </c>
    </row>
    <row r="3" spans="1:16" x14ac:dyDescent="0.2">
      <c r="A3" s="19" t="s">
        <v>54</v>
      </c>
      <c r="I3" s="17" t="s">
        <v>55</v>
      </c>
      <c r="J3" s="18" t="s">
        <v>56</v>
      </c>
    </row>
    <row r="4" spans="1:16" x14ac:dyDescent="0.2">
      <c r="I4" s="17" t="s">
        <v>57</v>
      </c>
      <c r="J4" s="18" t="s">
        <v>56</v>
      </c>
    </row>
    <row r="5" spans="1:16" ht="13.5" thickBot="1" x14ac:dyDescent="0.25">
      <c r="I5" s="20" t="s">
        <v>58</v>
      </c>
      <c r="J5" s="21" t="s">
        <v>59</v>
      </c>
    </row>
    <row r="10" spans="1:16" ht="13.5" thickBot="1" x14ac:dyDescent="0.25"/>
    <row r="11" spans="1:16" ht="12.75" customHeight="1" thickBot="1" x14ac:dyDescent="0.25">
      <c r="A11" s="3" t="str">
        <f t="shared" ref="A11:A35" si="0">P11</f>
        <v>BAVM 209 </v>
      </c>
      <c r="B11" s="5" t="str">
        <f t="shared" ref="B11:B35" si="1">IF(H11=INT(H11),"I","II")</f>
        <v>I</v>
      </c>
      <c r="C11" s="3">
        <f t="shared" ref="C11:C35" si="2">1*G11</f>
        <v>53989.5311</v>
      </c>
      <c r="D11" s="4" t="str">
        <f t="shared" ref="D11:D35" si="3">VLOOKUP(F11,I$1:J$5,2,FALSE)</f>
        <v>vis</v>
      </c>
      <c r="E11" s="22">
        <f>VLOOKUP(C11,Active!C$21:E$973,3,FALSE)</f>
        <v>12241.912318897012</v>
      </c>
      <c r="F11" s="5" t="s">
        <v>58</v>
      </c>
      <c r="G11" s="4" t="str">
        <f t="shared" ref="G11:G35" si="4">MID(I11,3,LEN(I11)-3)</f>
        <v>53989.5311</v>
      </c>
      <c r="H11" s="3">
        <f t="shared" ref="H11:H35" si="5">1*K11</f>
        <v>12242</v>
      </c>
      <c r="I11" s="23" t="s">
        <v>121</v>
      </c>
      <c r="J11" s="24" t="s">
        <v>122</v>
      </c>
      <c r="K11" s="23">
        <v>12242</v>
      </c>
      <c r="L11" s="23" t="s">
        <v>123</v>
      </c>
      <c r="M11" s="24" t="s">
        <v>124</v>
      </c>
      <c r="N11" s="24" t="s">
        <v>125</v>
      </c>
      <c r="O11" s="25" t="s">
        <v>126</v>
      </c>
      <c r="P11" s="26" t="s">
        <v>127</v>
      </c>
    </row>
    <row r="12" spans="1:16" ht="12.75" customHeight="1" thickBot="1" x14ac:dyDescent="0.25">
      <c r="A12" s="3" t="str">
        <f t="shared" si="0"/>
        <v>BAVM 201 </v>
      </c>
      <c r="B12" s="5" t="str">
        <f t="shared" si="1"/>
        <v>I</v>
      </c>
      <c r="C12" s="3">
        <f t="shared" si="2"/>
        <v>54509.317999999999</v>
      </c>
      <c r="D12" s="4" t="str">
        <f t="shared" si="3"/>
        <v>vis</v>
      </c>
      <c r="E12" s="22">
        <f>VLOOKUP(C12,Active!C$21:E$973,3,FALSE)</f>
        <v>12417.9066373674</v>
      </c>
      <c r="F12" s="5" t="s">
        <v>58</v>
      </c>
      <c r="G12" s="4" t="str">
        <f t="shared" si="4"/>
        <v>54509.3180</v>
      </c>
      <c r="H12" s="3">
        <f t="shared" si="5"/>
        <v>12418</v>
      </c>
      <c r="I12" s="23" t="s">
        <v>128</v>
      </c>
      <c r="J12" s="24" t="s">
        <v>129</v>
      </c>
      <c r="K12" s="23">
        <v>12418</v>
      </c>
      <c r="L12" s="23" t="s">
        <v>130</v>
      </c>
      <c r="M12" s="24" t="s">
        <v>124</v>
      </c>
      <c r="N12" s="24" t="s">
        <v>131</v>
      </c>
      <c r="O12" s="25" t="s">
        <v>132</v>
      </c>
      <c r="P12" s="26" t="s">
        <v>133</v>
      </c>
    </row>
    <row r="13" spans="1:16" ht="12.75" customHeight="1" thickBot="1" x14ac:dyDescent="0.25">
      <c r="A13" s="3" t="str">
        <f t="shared" si="0"/>
        <v>BAVM 209 </v>
      </c>
      <c r="B13" s="5" t="str">
        <f t="shared" si="1"/>
        <v>I</v>
      </c>
      <c r="C13" s="3">
        <f t="shared" si="2"/>
        <v>54828.282899999998</v>
      </c>
      <c r="D13" s="4" t="str">
        <f t="shared" si="3"/>
        <v>vis</v>
      </c>
      <c r="E13" s="22">
        <f>VLOOKUP(C13,Active!C$21:E$973,3,FALSE)</f>
        <v>12525.904761582295</v>
      </c>
      <c r="F13" s="5" t="s">
        <v>58</v>
      </c>
      <c r="G13" s="4" t="str">
        <f t="shared" si="4"/>
        <v>54828.2829</v>
      </c>
      <c r="H13" s="3">
        <f t="shared" si="5"/>
        <v>12526</v>
      </c>
      <c r="I13" s="23" t="s">
        <v>134</v>
      </c>
      <c r="J13" s="24" t="s">
        <v>135</v>
      </c>
      <c r="K13" s="23" t="s">
        <v>136</v>
      </c>
      <c r="L13" s="23" t="s">
        <v>137</v>
      </c>
      <c r="M13" s="24" t="s">
        <v>124</v>
      </c>
      <c r="N13" s="24" t="s">
        <v>125</v>
      </c>
      <c r="O13" s="25" t="s">
        <v>126</v>
      </c>
      <c r="P13" s="26" t="s">
        <v>127</v>
      </c>
    </row>
    <row r="14" spans="1:16" ht="12.75" customHeight="1" thickBot="1" x14ac:dyDescent="0.25">
      <c r="A14" s="3" t="str">
        <f t="shared" si="0"/>
        <v>IBVS 5992 </v>
      </c>
      <c r="B14" s="5" t="str">
        <f t="shared" si="1"/>
        <v>I</v>
      </c>
      <c r="C14" s="3">
        <f t="shared" si="2"/>
        <v>55563.663099999998</v>
      </c>
      <c r="D14" s="4" t="str">
        <f t="shared" si="3"/>
        <v>vis</v>
      </c>
      <c r="E14" s="22">
        <f>VLOOKUP(C14,Active!C$21:E$973,3,FALSE)</f>
        <v>12774.896679454057</v>
      </c>
      <c r="F14" s="5" t="s">
        <v>58</v>
      </c>
      <c r="G14" s="4" t="str">
        <f t="shared" si="4"/>
        <v>55563.6631</v>
      </c>
      <c r="H14" s="3">
        <f t="shared" si="5"/>
        <v>12775</v>
      </c>
      <c r="I14" s="23" t="s">
        <v>142</v>
      </c>
      <c r="J14" s="24" t="s">
        <v>143</v>
      </c>
      <c r="K14" s="23" t="s">
        <v>144</v>
      </c>
      <c r="L14" s="23" t="s">
        <v>145</v>
      </c>
      <c r="M14" s="24" t="s">
        <v>124</v>
      </c>
      <c r="N14" s="24" t="s">
        <v>58</v>
      </c>
      <c r="O14" s="25" t="s">
        <v>146</v>
      </c>
      <c r="P14" s="26" t="s">
        <v>147</v>
      </c>
    </row>
    <row r="15" spans="1:16" ht="12.75" customHeight="1" thickBot="1" x14ac:dyDescent="0.25">
      <c r="A15" s="3" t="str">
        <f t="shared" si="0"/>
        <v>IBVS 6011 </v>
      </c>
      <c r="B15" s="5" t="str">
        <f t="shared" si="1"/>
        <v>I</v>
      </c>
      <c r="C15" s="3">
        <f t="shared" si="2"/>
        <v>55867.847399999999</v>
      </c>
      <c r="D15" s="4" t="str">
        <f t="shared" si="3"/>
        <v>vis</v>
      </c>
      <c r="E15" s="22">
        <f>VLOOKUP(C15,Active!C$21:E$973,3,FALSE)</f>
        <v>12877.890249641941</v>
      </c>
      <c r="F15" s="5" t="s">
        <v>58</v>
      </c>
      <c r="G15" s="4" t="str">
        <f t="shared" si="4"/>
        <v>55867.8474</v>
      </c>
      <c r="H15" s="3">
        <f t="shared" si="5"/>
        <v>12878</v>
      </c>
      <c r="I15" s="23" t="s">
        <v>148</v>
      </c>
      <c r="J15" s="24" t="s">
        <v>149</v>
      </c>
      <c r="K15" s="23" t="s">
        <v>150</v>
      </c>
      <c r="L15" s="23" t="s">
        <v>151</v>
      </c>
      <c r="M15" s="24" t="s">
        <v>124</v>
      </c>
      <c r="N15" s="24" t="s">
        <v>58</v>
      </c>
      <c r="O15" s="25" t="s">
        <v>146</v>
      </c>
      <c r="P15" s="26" t="s">
        <v>152</v>
      </c>
    </row>
    <row r="16" spans="1:16" ht="12.75" customHeight="1" thickBot="1" x14ac:dyDescent="0.25">
      <c r="A16" s="3" t="str">
        <f t="shared" si="0"/>
        <v>OEJV 0160 </v>
      </c>
      <c r="B16" s="5" t="str">
        <f t="shared" si="1"/>
        <v>I</v>
      </c>
      <c r="C16" s="3">
        <f t="shared" si="2"/>
        <v>55894.427739999999</v>
      </c>
      <c r="D16" s="4" t="str">
        <f t="shared" si="3"/>
        <v>vis</v>
      </c>
      <c r="E16" s="22">
        <f>VLOOKUP(C16,Active!C$21:E$973,3,FALSE)</f>
        <v>12886.890070189575</v>
      </c>
      <c r="F16" s="5" t="s">
        <v>58</v>
      </c>
      <c r="G16" s="4" t="str">
        <f t="shared" si="4"/>
        <v>55894.42774</v>
      </c>
      <c r="H16" s="3">
        <f t="shared" si="5"/>
        <v>12887</v>
      </c>
      <c r="I16" s="23" t="s">
        <v>153</v>
      </c>
      <c r="J16" s="24" t="s">
        <v>154</v>
      </c>
      <c r="K16" s="23" t="s">
        <v>155</v>
      </c>
      <c r="L16" s="23" t="s">
        <v>156</v>
      </c>
      <c r="M16" s="24" t="s">
        <v>124</v>
      </c>
      <c r="N16" s="24" t="s">
        <v>50</v>
      </c>
      <c r="O16" s="25" t="s">
        <v>157</v>
      </c>
      <c r="P16" s="26" t="s">
        <v>158</v>
      </c>
    </row>
    <row r="17" spans="1:16" ht="12.75" customHeight="1" thickBot="1" x14ac:dyDescent="0.25">
      <c r="A17" s="3" t="str">
        <f t="shared" si="0"/>
        <v> PZ 6.203 </v>
      </c>
      <c r="B17" s="5" t="str">
        <f t="shared" si="1"/>
        <v>I</v>
      </c>
      <c r="C17" s="3">
        <f t="shared" si="2"/>
        <v>17834.400000000001</v>
      </c>
      <c r="D17" s="4" t="str">
        <f t="shared" si="3"/>
        <v>vis</v>
      </c>
      <c r="E17" s="22">
        <f>VLOOKUP(C17,Active!C$21:E$973,3,FALSE)</f>
        <v>0.16929468448549653</v>
      </c>
      <c r="F17" s="5" t="s">
        <v>58</v>
      </c>
      <c r="G17" s="4" t="str">
        <f t="shared" si="4"/>
        <v>17834.40</v>
      </c>
      <c r="H17" s="3">
        <f t="shared" si="5"/>
        <v>0</v>
      </c>
      <c r="I17" s="23" t="s">
        <v>60</v>
      </c>
      <c r="J17" s="24" t="s">
        <v>61</v>
      </c>
      <c r="K17" s="23">
        <v>0</v>
      </c>
      <c r="L17" s="23" t="s">
        <v>62</v>
      </c>
      <c r="M17" s="24" t="s">
        <v>63</v>
      </c>
      <c r="N17" s="24"/>
      <c r="O17" s="25" t="s">
        <v>64</v>
      </c>
      <c r="P17" s="25" t="s">
        <v>65</v>
      </c>
    </row>
    <row r="18" spans="1:16" ht="12.75" customHeight="1" thickBot="1" x14ac:dyDescent="0.25">
      <c r="A18" s="3" t="str">
        <f t="shared" si="0"/>
        <v> PZ 4.211 </v>
      </c>
      <c r="B18" s="5" t="str">
        <f t="shared" si="1"/>
        <v>I</v>
      </c>
      <c r="C18" s="3">
        <f t="shared" si="2"/>
        <v>22999.54</v>
      </c>
      <c r="D18" s="4" t="str">
        <f t="shared" si="3"/>
        <v>vis</v>
      </c>
      <c r="E18" s="22">
        <f>VLOOKUP(C18,Active!C$21:E$973,3,FALSE)</f>
        <v>1749.0307879313204</v>
      </c>
      <c r="F18" s="5" t="s">
        <v>58</v>
      </c>
      <c r="G18" s="4" t="str">
        <f t="shared" si="4"/>
        <v>22999.54</v>
      </c>
      <c r="H18" s="3">
        <f t="shared" si="5"/>
        <v>1749</v>
      </c>
      <c r="I18" s="23" t="s">
        <v>66</v>
      </c>
      <c r="J18" s="24" t="s">
        <v>67</v>
      </c>
      <c r="K18" s="23">
        <v>1749</v>
      </c>
      <c r="L18" s="23" t="s">
        <v>68</v>
      </c>
      <c r="M18" s="24" t="s">
        <v>63</v>
      </c>
      <c r="N18" s="24"/>
      <c r="O18" s="25" t="s">
        <v>69</v>
      </c>
      <c r="P18" s="25" t="s">
        <v>70</v>
      </c>
    </row>
    <row r="19" spans="1:16" ht="12.75" customHeight="1" thickBot="1" x14ac:dyDescent="0.25">
      <c r="A19" s="3" t="str">
        <f t="shared" si="0"/>
        <v> MVS 2.162 </v>
      </c>
      <c r="B19" s="5" t="str">
        <f t="shared" si="1"/>
        <v>I</v>
      </c>
      <c r="C19" s="3">
        <f t="shared" si="2"/>
        <v>26295.49</v>
      </c>
      <c r="D19" s="4" t="str">
        <f t="shared" si="3"/>
        <v>vis</v>
      </c>
      <c r="E19" s="22">
        <f>VLOOKUP(C19,Active!C$21:E$973,3,FALSE)</f>
        <v>2865.0044185912652</v>
      </c>
      <c r="F19" s="5" t="s">
        <v>58</v>
      </c>
      <c r="G19" s="4" t="str">
        <f t="shared" si="4"/>
        <v>26295.49</v>
      </c>
      <c r="H19" s="3">
        <f t="shared" si="5"/>
        <v>2865</v>
      </c>
      <c r="I19" s="23" t="s">
        <v>71</v>
      </c>
      <c r="J19" s="24" t="s">
        <v>72</v>
      </c>
      <c r="K19" s="23">
        <v>2865</v>
      </c>
      <c r="L19" s="23" t="s">
        <v>73</v>
      </c>
      <c r="M19" s="24" t="s">
        <v>63</v>
      </c>
      <c r="N19" s="24"/>
      <c r="O19" s="25" t="s">
        <v>74</v>
      </c>
      <c r="P19" s="25" t="s">
        <v>75</v>
      </c>
    </row>
    <row r="20" spans="1:16" ht="12.75" customHeight="1" thickBot="1" x14ac:dyDescent="0.25">
      <c r="A20" s="3" t="str">
        <f t="shared" si="0"/>
        <v> MVS 2.162 </v>
      </c>
      <c r="B20" s="5" t="str">
        <f t="shared" si="1"/>
        <v>I</v>
      </c>
      <c r="C20" s="3">
        <f t="shared" si="2"/>
        <v>26363.29</v>
      </c>
      <c r="D20" s="4" t="str">
        <f t="shared" si="3"/>
        <v>vis</v>
      </c>
      <c r="E20" s="22">
        <f>VLOOKUP(C20,Active!C$21:E$973,3,FALSE)</f>
        <v>2887.9607778074983</v>
      </c>
      <c r="F20" s="5" t="s">
        <v>58</v>
      </c>
      <c r="G20" s="4" t="str">
        <f t="shared" si="4"/>
        <v>26363.29</v>
      </c>
      <c r="H20" s="3">
        <f t="shared" si="5"/>
        <v>2888</v>
      </c>
      <c r="I20" s="23" t="s">
        <v>76</v>
      </c>
      <c r="J20" s="24" t="s">
        <v>77</v>
      </c>
      <c r="K20" s="23">
        <v>2888</v>
      </c>
      <c r="L20" s="23" t="s">
        <v>78</v>
      </c>
      <c r="M20" s="24" t="s">
        <v>63</v>
      </c>
      <c r="N20" s="24"/>
      <c r="O20" s="25" t="s">
        <v>74</v>
      </c>
      <c r="P20" s="25" t="s">
        <v>75</v>
      </c>
    </row>
    <row r="21" spans="1:16" ht="12.75" customHeight="1" thickBot="1" x14ac:dyDescent="0.25">
      <c r="A21" s="3" t="str">
        <f t="shared" si="0"/>
        <v> MVS 2.162 </v>
      </c>
      <c r="B21" s="5" t="str">
        <f t="shared" si="1"/>
        <v>I</v>
      </c>
      <c r="C21" s="3">
        <f t="shared" si="2"/>
        <v>28835.5</v>
      </c>
      <c r="D21" s="4" t="str">
        <f t="shared" si="3"/>
        <v>vis</v>
      </c>
      <c r="E21" s="22">
        <f>VLOOKUP(C21,Active!C$21:E$973,3,FALSE)</f>
        <v>3725.0248016712767</v>
      </c>
      <c r="F21" s="5" t="s">
        <v>58</v>
      </c>
      <c r="G21" s="4" t="str">
        <f t="shared" si="4"/>
        <v>28835.50</v>
      </c>
      <c r="H21" s="3">
        <f t="shared" si="5"/>
        <v>3725</v>
      </c>
      <c r="I21" s="23" t="s">
        <v>79</v>
      </c>
      <c r="J21" s="24" t="s">
        <v>80</v>
      </c>
      <c r="K21" s="23">
        <v>3725</v>
      </c>
      <c r="L21" s="23" t="s">
        <v>81</v>
      </c>
      <c r="M21" s="24" t="s">
        <v>63</v>
      </c>
      <c r="N21" s="24"/>
      <c r="O21" s="25" t="s">
        <v>74</v>
      </c>
      <c r="P21" s="25" t="s">
        <v>75</v>
      </c>
    </row>
    <row r="22" spans="1:16" ht="12.75" customHeight="1" thickBot="1" x14ac:dyDescent="0.25">
      <c r="A22" s="3" t="str">
        <f t="shared" si="0"/>
        <v> PZ 6.203 </v>
      </c>
      <c r="B22" s="5" t="str">
        <f t="shared" si="1"/>
        <v>I</v>
      </c>
      <c r="C22" s="3">
        <f t="shared" si="2"/>
        <v>29284.25</v>
      </c>
      <c r="D22" s="4" t="str">
        <f t="shared" si="3"/>
        <v>vis</v>
      </c>
      <c r="E22" s="22">
        <f>VLOOKUP(C22,Active!C$21:E$973,3,FALSE)</f>
        <v>3876.9667809970097</v>
      </c>
      <c r="F22" s="5" t="s">
        <v>58</v>
      </c>
      <c r="G22" s="4" t="str">
        <f t="shared" si="4"/>
        <v>29284.25</v>
      </c>
      <c r="H22" s="3">
        <f t="shared" si="5"/>
        <v>3877</v>
      </c>
      <c r="I22" s="23" t="s">
        <v>82</v>
      </c>
      <c r="J22" s="24" t="s">
        <v>83</v>
      </c>
      <c r="K22" s="23">
        <v>3877</v>
      </c>
      <c r="L22" s="23" t="s">
        <v>84</v>
      </c>
      <c r="M22" s="24" t="s">
        <v>63</v>
      </c>
      <c r="N22" s="24"/>
      <c r="O22" s="25" t="s">
        <v>64</v>
      </c>
      <c r="P22" s="25" t="s">
        <v>65</v>
      </c>
    </row>
    <row r="23" spans="1:16" ht="12.75" customHeight="1" thickBot="1" x14ac:dyDescent="0.25">
      <c r="A23" s="3" t="str">
        <f t="shared" si="0"/>
        <v> MVS 2.162 </v>
      </c>
      <c r="B23" s="5" t="str">
        <f t="shared" si="1"/>
        <v>I</v>
      </c>
      <c r="C23" s="3">
        <f t="shared" si="2"/>
        <v>35814.42</v>
      </c>
      <c r="D23" s="4" t="str">
        <f t="shared" si="3"/>
        <v>vis</v>
      </c>
      <c r="E23" s="22">
        <f>VLOOKUP(C23,Active!C$21:E$973,3,FALSE)</f>
        <v>6088.0129205703188</v>
      </c>
      <c r="F23" s="5" t="s">
        <v>58</v>
      </c>
      <c r="G23" s="4" t="str">
        <f t="shared" si="4"/>
        <v>35814.42</v>
      </c>
      <c r="H23" s="3">
        <f t="shared" si="5"/>
        <v>6088</v>
      </c>
      <c r="I23" s="23" t="s">
        <v>85</v>
      </c>
      <c r="J23" s="24" t="s">
        <v>86</v>
      </c>
      <c r="K23" s="23">
        <v>6088</v>
      </c>
      <c r="L23" s="23" t="s">
        <v>87</v>
      </c>
      <c r="M23" s="24" t="s">
        <v>63</v>
      </c>
      <c r="N23" s="24"/>
      <c r="O23" s="25" t="s">
        <v>74</v>
      </c>
      <c r="P23" s="25" t="s">
        <v>75</v>
      </c>
    </row>
    <row r="24" spans="1:16" ht="12.75" customHeight="1" thickBot="1" x14ac:dyDescent="0.25">
      <c r="A24" s="3" t="str">
        <f t="shared" si="0"/>
        <v> MVS 2.162 </v>
      </c>
      <c r="B24" s="5" t="str">
        <f t="shared" si="1"/>
        <v>I</v>
      </c>
      <c r="C24" s="3">
        <f t="shared" si="2"/>
        <v>36821.58</v>
      </c>
      <c r="D24" s="4" t="str">
        <f t="shared" si="3"/>
        <v>vis</v>
      </c>
      <c r="E24" s="22">
        <f>VLOOKUP(C24,Active!C$21:E$973,3,FALSE)</f>
        <v>6429.0265894231452</v>
      </c>
      <c r="F24" s="5" t="s">
        <v>58</v>
      </c>
      <c r="G24" s="4" t="str">
        <f t="shared" si="4"/>
        <v>36821.58</v>
      </c>
      <c r="H24" s="3">
        <f t="shared" si="5"/>
        <v>6429</v>
      </c>
      <c r="I24" s="23" t="s">
        <v>88</v>
      </c>
      <c r="J24" s="24" t="s">
        <v>89</v>
      </c>
      <c r="K24" s="23">
        <v>6429</v>
      </c>
      <c r="L24" s="23" t="s">
        <v>90</v>
      </c>
      <c r="M24" s="24" t="s">
        <v>63</v>
      </c>
      <c r="N24" s="24"/>
      <c r="O24" s="25" t="s">
        <v>74</v>
      </c>
      <c r="P24" s="25" t="s">
        <v>75</v>
      </c>
    </row>
    <row r="25" spans="1:16" ht="12.75" customHeight="1" thickBot="1" x14ac:dyDescent="0.25">
      <c r="A25" s="3" t="str">
        <f t="shared" si="0"/>
        <v> MVS 2.162 </v>
      </c>
      <c r="B25" s="5" t="str">
        <f t="shared" si="1"/>
        <v>I</v>
      </c>
      <c r="C25" s="3">
        <f t="shared" si="2"/>
        <v>37577.550000000003</v>
      </c>
      <c r="D25" s="4" t="str">
        <f t="shared" si="3"/>
        <v>vis</v>
      </c>
      <c r="E25" s="22">
        <f>VLOOKUP(C25,Active!C$21:E$973,3,FALSE)</f>
        <v>6684.989994684147</v>
      </c>
      <c r="F25" s="5" t="s">
        <v>58</v>
      </c>
      <c r="G25" s="4" t="str">
        <f t="shared" si="4"/>
        <v>37577.55</v>
      </c>
      <c r="H25" s="3">
        <f t="shared" si="5"/>
        <v>6685</v>
      </c>
      <c r="I25" s="23" t="s">
        <v>91</v>
      </c>
      <c r="J25" s="24" t="s">
        <v>92</v>
      </c>
      <c r="K25" s="23">
        <v>6685</v>
      </c>
      <c r="L25" s="23" t="s">
        <v>93</v>
      </c>
      <c r="M25" s="24" t="s">
        <v>63</v>
      </c>
      <c r="N25" s="24"/>
      <c r="O25" s="25" t="s">
        <v>74</v>
      </c>
      <c r="P25" s="25" t="s">
        <v>75</v>
      </c>
    </row>
    <row r="26" spans="1:16" ht="12.75" customHeight="1" thickBot="1" x14ac:dyDescent="0.25">
      <c r="A26" s="3" t="str">
        <f t="shared" si="0"/>
        <v> MVS 2.162 </v>
      </c>
      <c r="B26" s="5" t="str">
        <f t="shared" si="1"/>
        <v>I</v>
      </c>
      <c r="C26" s="3">
        <f t="shared" si="2"/>
        <v>37586.54</v>
      </c>
      <c r="D26" s="4" t="str">
        <f t="shared" si="3"/>
        <v>vis</v>
      </c>
      <c r="E26" s="22">
        <f>VLOOKUP(C26,Active!C$21:E$973,3,FALSE)</f>
        <v>6688.0339131111959</v>
      </c>
      <c r="F26" s="5" t="s">
        <v>58</v>
      </c>
      <c r="G26" s="4" t="str">
        <f t="shared" si="4"/>
        <v>37586.54</v>
      </c>
      <c r="H26" s="3">
        <f t="shared" si="5"/>
        <v>6688</v>
      </c>
      <c r="I26" s="23" t="s">
        <v>94</v>
      </c>
      <c r="J26" s="24" t="s">
        <v>95</v>
      </c>
      <c r="K26" s="23">
        <v>6688</v>
      </c>
      <c r="L26" s="23" t="s">
        <v>96</v>
      </c>
      <c r="M26" s="24" t="s">
        <v>63</v>
      </c>
      <c r="N26" s="24"/>
      <c r="O26" s="25" t="s">
        <v>74</v>
      </c>
      <c r="P26" s="25" t="s">
        <v>75</v>
      </c>
    </row>
    <row r="27" spans="1:16" ht="12.75" customHeight="1" thickBot="1" x14ac:dyDescent="0.25">
      <c r="A27" s="3" t="str">
        <f t="shared" si="0"/>
        <v> MVS 2.162 </v>
      </c>
      <c r="B27" s="5" t="str">
        <f t="shared" si="1"/>
        <v>I</v>
      </c>
      <c r="C27" s="3">
        <f t="shared" si="2"/>
        <v>37648.480000000003</v>
      </c>
      <c r="D27" s="4" t="str">
        <f t="shared" si="3"/>
        <v>vis</v>
      </c>
      <c r="E27" s="22">
        <f>VLOOKUP(C27,Active!C$21:E$973,3,FALSE)</f>
        <v>6709.0061386252601</v>
      </c>
      <c r="F27" s="5" t="s">
        <v>58</v>
      </c>
      <c r="G27" s="4" t="str">
        <f t="shared" si="4"/>
        <v>37648.48</v>
      </c>
      <c r="H27" s="3">
        <f t="shared" si="5"/>
        <v>6709</v>
      </c>
      <c r="I27" s="23" t="s">
        <v>97</v>
      </c>
      <c r="J27" s="24" t="s">
        <v>98</v>
      </c>
      <c r="K27" s="23">
        <v>6709</v>
      </c>
      <c r="L27" s="23" t="s">
        <v>99</v>
      </c>
      <c r="M27" s="24" t="s">
        <v>63</v>
      </c>
      <c r="N27" s="24"/>
      <c r="O27" s="25" t="s">
        <v>74</v>
      </c>
      <c r="P27" s="25" t="s">
        <v>75</v>
      </c>
    </row>
    <row r="28" spans="1:16" ht="12.75" customHeight="1" thickBot="1" x14ac:dyDescent="0.25">
      <c r="A28" s="3" t="str">
        <f t="shared" si="0"/>
        <v> MVS 2.162 </v>
      </c>
      <c r="B28" s="5" t="str">
        <f t="shared" si="1"/>
        <v>I</v>
      </c>
      <c r="C28" s="3">
        <f t="shared" si="2"/>
        <v>37970.47</v>
      </c>
      <c r="D28" s="4" t="str">
        <f t="shared" si="3"/>
        <v>vis</v>
      </c>
      <c r="E28" s="22">
        <f>VLOOKUP(C28,Active!C$21:E$973,3,FALSE)</f>
        <v>6818.0285295402291</v>
      </c>
      <c r="F28" s="5" t="s">
        <v>58</v>
      </c>
      <c r="G28" s="4" t="str">
        <f t="shared" si="4"/>
        <v>37970.47</v>
      </c>
      <c r="H28" s="3">
        <f t="shared" si="5"/>
        <v>6818</v>
      </c>
      <c r="I28" s="23" t="s">
        <v>100</v>
      </c>
      <c r="J28" s="24" t="s">
        <v>101</v>
      </c>
      <c r="K28" s="23">
        <v>6818</v>
      </c>
      <c r="L28" s="23" t="s">
        <v>90</v>
      </c>
      <c r="M28" s="24" t="s">
        <v>63</v>
      </c>
      <c r="N28" s="24"/>
      <c r="O28" s="25" t="s">
        <v>74</v>
      </c>
      <c r="P28" s="25" t="s">
        <v>75</v>
      </c>
    </row>
    <row r="29" spans="1:16" ht="12.75" customHeight="1" thickBot="1" x14ac:dyDescent="0.25">
      <c r="A29" s="3" t="str">
        <f t="shared" si="0"/>
        <v> MVS 2.162 </v>
      </c>
      <c r="B29" s="5" t="str">
        <f t="shared" si="1"/>
        <v>I</v>
      </c>
      <c r="C29" s="3">
        <f t="shared" si="2"/>
        <v>38348.44</v>
      </c>
      <c r="D29" s="4" t="str">
        <f t="shared" si="3"/>
        <v>vis</v>
      </c>
      <c r="E29" s="22">
        <f>VLOOKUP(C29,Active!C$21:E$973,3,FALSE)</f>
        <v>6946.0051533301958</v>
      </c>
      <c r="F29" s="5" t="s">
        <v>58</v>
      </c>
      <c r="G29" s="4" t="str">
        <f t="shared" si="4"/>
        <v>38348.44</v>
      </c>
      <c r="H29" s="3">
        <f t="shared" si="5"/>
        <v>6946</v>
      </c>
      <c r="I29" s="23" t="s">
        <v>102</v>
      </c>
      <c r="J29" s="24" t="s">
        <v>103</v>
      </c>
      <c r="K29" s="23">
        <v>6946</v>
      </c>
      <c r="L29" s="23" t="s">
        <v>99</v>
      </c>
      <c r="M29" s="24" t="s">
        <v>63</v>
      </c>
      <c r="N29" s="24"/>
      <c r="O29" s="25" t="s">
        <v>74</v>
      </c>
      <c r="P29" s="25" t="s">
        <v>75</v>
      </c>
    </row>
    <row r="30" spans="1:16" ht="12.75" customHeight="1" thickBot="1" x14ac:dyDescent="0.25">
      <c r="A30" s="3" t="str">
        <f t="shared" si="0"/>
        <v> MVS 2.162 </v>
      </c>
      <c r="B30" s="5" t="str">
        <f t="shared" si="1"/>
        <v>I</v>
      </c>
      <c r="C30" s="3">
        <f t="shared" si="2"/>
        <v>38407.53</v>
      </c>
      <c r="D30" s="4" t="str">
        <f t="shared" si="3"/>
        <v>vis</v>
      </c>
      <c r="E30" s="22">
        <f>VLOOKUP(C30,Active!C$21:E$973,3,FALSE)</f>
        <v>6966.0123991426908</v>
      </c>
      <c r="F30" s="5" t="s">
        <v>58</v>
      </c>
      <c r="G30" s="4" t="str">
        <f t="shared" si="4"/>
        <v>38407.53</v>
      </c>
      <c r="H30" s="3">
        <f t="shared" si="5"/>
        <v>6966</v>
      </c>
      <c r="I30" s="23" t="s">
        <v>104</v>
      </c>
      <c r="J30" s="24" t="s">
        <v>105</v>
      </c>
      <c r="K30" s="23">
        <v>6966</v>
      </c>
      <c r="L30" s="23" t="s">
        <v>87</v>
      </c>
      <c r="M30" s="24" t="s">
        <v>63</v>
      </c>
      <c r="N30" s="24"/>
      <c r="O30" s="25" t="s">
        <v>74</v>
      </c>
      <c r="P30" s="25" t="s">
        <v>75</v>
      </c>
    </row>
    <row r="31" spans="1:16" ht="12.75" customHeight="1" thickBot="1" x14ac:dyDescent="0.25">
      <c r="A31" s="3" t="str">
        <f t="shared" si="0"/>
        <v> MVS 2.162 </v>
      </c>
      <c r="B31" s="5" t="str">
        <f t="shared" si="1"/>
        <v>I</v>
      </c>
      <c r="C31" s="3">
        <f t="shared" si="2"/>
        <v>38410.46</v>
      </c>
      <c r="D31" s="4" t="str">
        <f t="shared" si="3"/>
        <v>vis</v>
      </c>
      <c r="E31" s="22">
        <f>VLOOKUP(C31,Active!C$21:E$973,3,FALSE)</f>
        <v>6967.0044659937757</v>
      </c>
      <c r="F31" s="5" t="s">
        <v>58</v>
      </c>
      <c r="G31" s="4" t="str">
        <f t="shared" si="4"/>
        <v>38410.46</v>
      </c>
      <c r="H31" s="3">
        <f t="shared" si="5"/>
        <v>6967</v>
      </c>
      <c r="I31" s="23" t="s">
        <v>106</v>
      </c>
      <c r="J31" s="24" t="s">
        <v>107</v>
      </c>
      <c r="K31" s="23">
        <v>6967</v>
      </c>
      <c r="L31" s="23" t="s">
        <v>73</v>
      </c>
      <c r="M31" s="24" t="s">
        <v>63</v>
      </c>
      <c r="N31" s="24"/>
      <c r="O31" s="25" t="s">
        <v>74</v>
      </c>
      <c r="P31" s="25" t="s">
        <v>75</v>
      </c>
    </row>
    <row r="32" spans="1:16" ht="12.75" customHeight="1" thickBot="1" x14ac:dyDescent="0.25">
      <c r="A32" s="3" t="str">
        <f t="shared" si="0"/>
        <v> MVS 2.162 </v>
      </c>
      <c r="B32" s="5" t="str">
        <f t="shared" si="1"/>
        <v>I</v>
      </c>
      <c r="C32" s="3">
        <f t="shared" si="2"/>
        <v>38413.440000000002</v>
      </c>
      <c r="D32" s="4" t="str">
        <f t="shared" si="3"/>
        <v>vis</v>
      </c>
      <c r="E32" s="22">
        <f>VLOOKUP(C32,Active!C$21:E$973,3,FALSE)</f>
        <v>6968.0134623133108</v>
      </c>
      <c r="F32" s="5" t="s">
        <v>58</v>
      </c>
      <c r="G32" s="4" t="str">
        <f t="shared" si="4"/>
        <v>38413.44</v>
      </c>
      <c r="H32" s="3">
        <f t="shared" si="5"/>
        <v>6968</v>
      </c>
      <c r="I32" s="23" t="s">
        <v>108</v>
      </c>
      <c r="J32" s="24" t="s">
        <v>109</v>
      </c>
      <c r="K32" s="23">
        <v>6968</v>
      </c>
      <c r="L32" s="23" t="s">
        <v>87</v>
      </c>
      <c r="M32" s="24" t="s">
        <v>63</v>
      </c>
      <c r="N32" s="24"/>
      <c r="O32" s="25" t="s">
        <v>74</v>
      </c>
      <c r="P32" s="25" t="s">
        <v>75</v>
      </c>
    </row>
    <row r="33" spans="1:16" ht="12.75" customHeight="1" thickBot="1" x14ac:dyDescent="0.25">
      <c r="A33" s="3" t="str">
        <f t="shared" si="0"/>
        <v> BRNO 28 </v>
      </c>
      <c r="B33" s="5" t="str">
        <f t="shared" si="1"/>
        <v>I</v>
      </c>
      <c r="C33" s="3">
        <f t="shared" si="2"/>
        <v>46727.4</v>
      </c>
      <c r="D33" s="4" t="str">
        <f t="shared" si="3"/>
        <v>vis</v>
      </c>
      <c r="E33" s="22">
        <f>VLOOKUP(C33,Active!C$21:E$973,3,FALSE)</f>
        <v>9783.0319323633885</v>
      </c>
      <c r="F33" s="5" t="s">
        <v>58</v>
      </c>
      <c r="G33" s="4" t="str">
        <f t="shared" si="4"/>
        <v>46727.400</v>
      </c>
      <c r="H33" s="3">
        <f t="shared" si="5"/>
        <v>9783</v>
      </c>
      <c r="I33" s="23" t="s">
        <v>110</v>
      </c>
      <c r="J33" s="24" t="s">
        <v>111</v>
      </c>
      <c r="K33" s="23">
        <v>9783</v>
      </c>
      <c r="L33" s="23" t="s">
        <v>112</v>
      </c>
      <c r="M33" s="24" t="s">
        <v>113</v>
      </c>
      <c r="N33" s="24"/>
      <c r="O33" s="25" t="s">
        <v>114</v>
      </c>
      <c r="P33" s="25" t="s">
        <v>115</v>
      </c>
    </row>
    <row r="34" spans="1:16" ht="12.75" customHeight="1" thickBot="1" x14ac:dyDescent="0.25">
      <c r="A34" s="3" t="str">
        <f t="shared" si="0"/>
        <v> BBS 123 </v>
      </c>
      <c r="B34" s="5" t="str">
        <f t="shared" si="1"/>
        <v>I</v>
      </c>
      <c r="C34" s="3">
        <f t="shared" si="2"/>
        <v>51136.650999999998</v>
      </c>
      <c r="D34" s="4" t="str">
        <f t="shared" si="3"/>
        <v>vis</v>
      </c>
      <c r="E34" s="22">
        <f>VLOOKUP(C34,Active!C$21:E$973,3,FALSE)</f>
        <v>11275.957446088107</v>
      </c>
      <c r="F34" s="5" t="s">
        <v>58</v>
      </c>
      <c r="G34" s="4" t="str">
        <f t="shared" si="4"/>
        <v>51136.651</v>
      </c>
      <c r="H34" s="3">
        <f t="shared" si="5"/>
        <v>11276</v>
      </c>
      <c r="I34" s="23" t="s">
        <v>116</v>
      </c>
      <c r="J34" s="24" t="s">
        <v>117</v>
      </c>
      <c r="K34" s="23">
        <v>11276</v>
      </c>
      <c r="L34" s="23" t="s">
        <v>118</v>
      </c>
      <c r="M34" s="24" t="s">
        <v>113</v>
      </c>
      <c r="N34" s="24"/>
      <c r="O34" s="25" t="s">
        <v>119</v>
      </c>
      <c r="P34" s="25" t="s">
        <v>120</v>
      </c>
    </row>
    <row r="35" spans="1:16" ht="12.75" customHeight="1" thickBot="1" x14ac:dyDescent="0.25">
      <c r="A35" s="3" t="str">
        <f t="shared" si="0"/>
        <v>BAVM 209 </v>
      </c>
      <c r="B35" s="5" t="str">
        <f t="shared" si="1"/>
        <v>II</v>
      </c>
      <c r="C35" s="3">
        <f t="shared" si="2"/>
        <v>54989.5311</v>
      </c>
      <c r="D35" s="4" t="str">
        <f t="shared" si="3"/>
        <v>vis</v>
      </c>
      <c r="E35" s="22">
        <f>VLOOKUP(C35,Active!C$21:E$973,3,FALSE)</f>
        <v>12580.501687868004</v>
      </c>
      <c r="F35" s="5" t="s">
        <v>58</v>
      </c>
      <c r="G35" s="4" t="str">
        <f t="shared" si="4"/>
        <v>54989.5311</v>
      </c>
      <c r="H35" s="3">
        <f t="shared" si="5"/>
        <v>12580.5</v>
      </c>
      <c r="I35" s="23" t="s">
        <v>138</v>
      </c>
      <c r="J35" s="24" t="s">
        <v>139</v>
      </c>
      <c r="K35" s="23" t="s">
        <v>140</v>
      </c>
      <c r="L35" s="23" t="s">
        <v>141</v>
      </c>
      <c r="M35" s="24" t="s">
        <v>124</v>
      </c>
      <c r="N35" s="24" t="s">
        <v>125</v>
      </c>
      <c r="O35" s="25" t="s">
        <v>126</v>
      </c>
      <c r="P35" s="26" t="s">
        <v>127</v>
      </c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</sheetData>
  <phoneticPr fontId="18" type="noConversion"/>
  <hyperlinks>
    <hyperlink ref="P11" r:id="rId1" display="http://www.bav-astro.de/sfs/BAVM_link.php?BAVMnr=209"/>
    <hyperlink ref="P12" r:id="rId2" display="http://www.bav-astro.de/sfs/BAVM_link.php?BAVMnr=201"/>
    <hyperlink ref="P13" r:id="rId3" display="http://www.bav-astro.de/sfs/BAVM_link.php?BAVMnr=209"/>
    <hyperlink ref="P35" r:id="rId4" display="http://www.bav-astro.de/sfs/BAVM_link.php?BAVMnr=209"/>
    <hyperlink ref="P14" r:id="rId5" display="http://www.konkoly.hu/cgi-bin/IBVS?5992"/>
    <hyperlink ref="P15" r:id="rId6" display="http://www.konkoly.hu/cgi-bin/IBVS?6011"/>
    <hyperlink ref="P16" r:id="rId7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2024-03-03T04:14:39Z</dcterms:modified>
</cp:coreProperties>
</file>