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E4072B1-F74B-4199-8D88-57E8427E4C4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3" i="1"/>
  <c r="Q24" i="1"/>
  <c r="Q25" i="1"/>
  <c r="Q26" i="1"/>
  <c r="Q27" i="1"/>
  <c r="Q28" i="1"/>
  <c r="G15" i="2"/>
  <c r="C15" i="2"/>
  <c r="G14" i="2"/>
  <c r="C14" i="2"/>
  <c r="G13" i="2"/>
  <c r="C13" i="2"/>
  <c r="G12" i="2"/>
  <c r="C12" i="2"/>
  <c r="G11" i="2"/>
  <c r="C11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Q33" i="1"/>
  <c r="Q32" i="1"/>
  <c r="Q30" i="1"/>
  <c r="Q31" i="1"/>
  <c r="Q29" i="1"/>
  <c r="F16" i="1"/>
  <c r="C17" i="1"/>
  <c r="C8" i="1"/>
  <c r="C7" i="1"/>
  <c r="E21" i="1"/>
  <c r="F21" i="1"/>
  <c r="Q22" i="1"/>
  <c r="E21" i="2"/>
  <c r="E16" i="2"/>
  <c r="E22" i="2"/>
  <c r="E14" i="2"/>
  <c r="E12" i="2"/>
  <c r="E13" i="2"/>
  <c r="E31" i="1"/>
  <c r="F31" i="1"/>
  <c r="G26" i="1"/>
  <c r="K26" i="1"/>
  <c r="E24" i="1"/>
  <c r="F24" i="1"/>
  <c r="G24" i="1"/>
  <c r="K24" i="1"/>
  <c r="G30" i="1"/>
  <c r="I30" i="1"/>
  <c r="E22" i="1"/>
  <c r="F22" i="1"/>
  <c r="G22" i="1"/>
  <c r="H22" i="1"/>
  <c r="E33" i="1"/>
  <c r="F33" i="1"/>
  <c r="G33" i="1"/>
  <c r="I33" i="1"/>
  <c r="E26" i="1"/>
  <c r="F26" i="1"/>
  <c r="E30" i="1"/>
  <c r="F30" i="1"/>
  <c r="E23" i="1"/>
  <c r="F23" i="1"/>
  <c r="G23" i="1"/>
  <c r="K23" i="1"/>
  <c r="E28" i="1"/>
  <c r="F28" i="1"/>
  <c r="G28" i="1"/>
  <c r="K28" i="1"/>
  <c r="E32" i="1"/>
  <c r="F32" i="1"/>
  <c r="G32" i="1"/>
  <c r="I32" i="1"/>
  <c r="G27" i="1"/>
  <c r="K27" i="1"/>
  <c r="E25" i="1"/>
  <c r="F25" i="1"/>
  <c r="G25" i="1"/>
  <c r="K25" i="1"/>
  <c r="G21" i="1"/>
  <c r="K21" i="1"/>
  <c r="G31" i="1"/>
  <c r="I31" i="1"/>
  <c r="E29" i="1"/>
  <c r="F29" i="1"/>
  <c r="G29" i="1"/>
  <c r="E27" i="1"/>
  <c r="F27" i="1"/>
  <c r="I29" i="1"/>
  <c r="E19" i="2"/>
  <c r="E11" i="2"/>
  <c r="E18" i="2"/>
  <c r="E15" i="2"/>
  <c r="E20" i="2"/>
  <c r="E17" i="2"/>
  <c r="C11" i="1"/>
  <c r="C12" i="1"/>
  <c r="C16" i="1" l="1"/>
  <c r="D18" i="1" s="1"/>
  <c r="O32" i="1"/>
  <c r="O33" i="1"/>
  <c r="O29" i="1"/>
  <c r="C15" i="1"/>
  <c r="O31" i="1"/>
  <c r="O24" i="1"/>
  <c r="O22" i="1"/>
  <c r="O21" i="1"/>
  <c r="O27" i="1"/>
  <c r="O28" i="1"/>
  <c r="O30" i="1"/>
  <c r="O23" i="1"/>
  <c r="O25" i="1"/>
  <c r="O26" i="1"/>
  <c r="F17" i="1"/>
  <c r="C18" i="1" l="1"/>
  <c r="F18" i="1"/>
  <c r="F19" i="1" s="1"/>
</calcChain>
</file>

<file path=xl/sharedStrings.xml><?xml version="1.0" encoding="utf-8"?>
<sst xmlns="http://schemas.openxmlformats.org/spreadsheetml/2006/main" count="168" uniqueCount="111">
  <si>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</si>
  <si>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</si>
  <si>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</si>
  <si>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</si>
  <si>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</si>
  <si>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</si>
  <si>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</si>
  <si>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</si>
  <si>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</si>
  <si>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</si>
  <si>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</si>
  <si>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</si>
  <si>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</si>
  <si>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</si>
  <si>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</si>
  <si>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</si>
  <si>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</si>
  <si>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</si>
  <si>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</si>
  <si>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</si>
  <si>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</si>
  <si>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</si>
  <si>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</si>
  <si>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</si>
  <si>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</si>
  <si>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</si>
  <si>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</si>
  <si>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</si>
  <si>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</si>
  <si>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EB</t>
  </si>
  <si>
    <t># of data points: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</si>
  <si>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</si>
  <si>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</si>
  <si>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</si>
  <si>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</si>
  <si>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</si>
  <si>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</si>
  <si>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</si>
  <si>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</si>
  <si>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5960</t>
  </si>
  <si>
    <t>I</t>
  </si>
  <si>
    <t>IBVS 5992</t>
  </si>
  <si>
    <t>II</t>
  </si>
  <si>
    <t>IBVS 6011</t>
  </si>
  <si>
    <t>MS Per / GSC 3335-1466</t>
  </si>
  <si>
    <t>IBVS 6063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</si>
  <si>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</si>
  <si>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</si>
  <si>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</si>
  <si>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</si>
  <si>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</si>
  <si>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</si>
  <si>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</si>
  <si>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</si>
  <si>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</si>
  <si>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</si>
  <si>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</si>
  <si>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</si>
  <si>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2434099.391 </t>
  </si>
  <si>
    <t> 27.03.1952 21:23 </t>
  </si>
  <si>
    <t> -0.005 </t>
  </si>
  <si>
    <t>P </t>
  </si>
  <si>
    <t> A.V.Svirin </t>
  </si>
  <si>
    <t> PZP 3.720 </t>
  </si>
  <si>
    <t>2434477.419 </t>
  </si>
  <si>
    <t> 09.04.1953 22:03 </t>
  </si>
  <si>
    <t> 0.007 </t>
  </si>
  <si>
    <t>2435366.846 </t>
  </si>
  <si>
    <t> 16.09.1955 08:18 </t>
  </si>
  <si>
    <t> -0.014 </t>
  </si>
  <si>
    <t>2435541.985 </t>
  </si>
  <si>
    <t> 09.03.1956 11:38 </t>
  </si>
  <si>
    <t> 0.015 </t>
  </si>
  <si>
    <t>2435931.099 </t>
  </si>
  <si>
    <t> 02.04.1957 14:22 </t>
  </si>
  <si>
    <t>2438343.46 </t>
  </si>
  <si>
    <t> 09.11.1963 23:02 </t>
  </si>
  <si>
    <t> -0.27 </t>
  </si>
  <si>
    <t> C.Hoffmeister </t>
  </si>
  <si>
    <t> AN 290.2 </t>
  </si>
  <si>
    <t>2450753.456 </t>
  </si>
  <si>
    <t> 31.10.1997 22:56 </t>
  </si>
  <si>
    <t> -0.860 </t>
  </si>
  <si>
    <t>V </t>
  </si>
  <si>
    <t> J.Vandenbroere </t>
  </si>
  <si>
    <t> BBS 119 </t>
  </si>
  <si>
    <t>2455513.8925 </t>
  </si>
  <si>
    <t> 13.11.2010 09:25 </t>
  </si>
  <si>
    <t> -0.3616 </t>
  </si>
  <si>
    <t>C </t>
  </si>
  <si>
    <t> R.Diethelm </t>
  </si>
  <si>
    <t>IBVS 5960 </t>
  </si>
  <si>
    <t>2455566.6987 </t>
  </si>
  <si>
    <t> 05.01.2011 04:46 </t>
  </si>
  <si>
    <t> -0.3664 </t>
  </si>
  <si>
    <t>IBVS 5992 </t>
  </si>
  <si>
    <t>2455866.8694 </t>
  </si>
  <si>
    <t> 01.11.2011 08:51 </t>
  </si>
  <si>
    <t> -0.3845 </t>
  </si>
  <si>
    <t>IBVS 6011 </t>
  </si>
  <si>
    <t>2456297.6625 </t>
  </si>
  <si>
    <t> 05.01.2013 03:54 </t>
  </si>
  <si>
    <t> -0.4179 </t>
  </si>
  <si>
    <t>IBVS 6063 </t>
  </si>
  <si>
    <t>2456928.5693 </t>
  </si>
  <si>
    <t> 28.09.2014 01:39 </t>
  </si>
  <si>
    <t> -0.4635 </t>
  </si>
  <si>
    <t>o</t>
  </si>
  <si>
    <t> W.Moschner &amp; P.Frank </t>
  </si>
  <si>
    <t>BAVM 239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</si>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</sst>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Per - O-C Diagr.</a:t>
            </a:r>
          </a:p>
        </c:rich>
      </c:tx>
      <c:layout>
        <c:manualLayout>
          <c:xMode val="edge"/>
          <c:yMode val="edge"/>
          <c:x val="0.3796449272596983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1421712046357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FD-4A85-9306-99B99BBE3A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Active!$D$22:$D$47</c:f>
                <c:numCache>
                  <c:formatCode>General</c:formatCode>
                  <c:ptCount val="26"/>
                  <c:pt idx="0">
                    <c:v>0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6.9999999999999999E-4</c:v>
                  </c:pt>
                  <c:pt idx="11">
                    <c:v>1.4E-3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8">
                  <c:v>-0.3615669999999227</c:v>
                </c:pt>
                <c:pt idx="9">
                  <c:v>-0.36636100000032457</c:v>
                </c:pt>
                <c:pt idx="10">
                  <c:v>-0.38446899999689776</c:v>
                </c:pt>
                <c:pt idx="11">
                  <c:v>-0.41789900000003399</c:v>
                </c:pt>
                <c:pt idx="12">
                  <c:v>-0.46350099999835948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FD-4A85-9306-99B99BBE3A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  <c:pt idx="1">
                    <c:v>0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1.4E-3</c:v>
                  </c:pt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  <c:pt idx="1">
                    <c:v>0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FD-4A85-9306-99B99BBE3A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-4.9999999973806553E-3</c:v>
                </c:pt>
                <c:pt idx="2">
                  <c:v>7.4640000020735897E-3</c:v>
                </c:pt>
                <c:pt idx="3">
                  <c:v>-1.385600000503473E-2</c:v>
                </c:pt>
                <c:pt idx="4">
                  <c:v>1.5006000001449138E-2</c:v>
                </c:pt>
                <c:pt idx="5">
                  <c:v>-4.6339999971678481E-3</c:v>
                </c:pt>
                <c:pt idx="6">
                  <c:v>-0.27220200000010664</c:v>
                </c:pt>
                <c:pt idx="7">
                  <c:v>0.52997099999629427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FD-4A85-9306-99B99BBE3A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FD-4A85-9306-99B99BBE3A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FD-4A85-9306-99B99BBE3A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FD-4A85-9306-99B99BBE3A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1.180506562057432</c:v>
                </c:pt>
                <c:pt idx="1">
                  <c:v>1.180506562057432</c:v>
                </c:pt>
                <c:pt idx="2">
                  <c:v>1.1532912943982259</c:v>
                </c:pt>
                <c:pt idx="3">
                  <c:v>1.0892553704942112</c:v>
                </c:pt>
                <c:pt idx="4">
                  <c:v>1.0766482979756082</c:v>
                </c:pt>
                <c:pt idx="5">
                  <c:v>1.0486325812676021</c:v>
                </c:pt>
                <c:pt idx="6">
                  <c:v>0.87493513767796238</c:v>
                </c:pt>
                <c:pt idx="7">
                  <c:v>-1.8466056914141271E-2</c:v>
                </c:pt>
                <c:pt idx="8">
                  <c:v>-0.36125836206281936</c:v>
                </c:pt>
                <c:pt idx="9">
                  <c:v>-0.36506049504462013</c:v>
                </c:pt>
                <c:pt idx="10">
                  <c:v>-0.38667261936222519</c:v>
                </c:pt>
                <c:pt idx="11">
                  <c:v>-0.41769002000323208</c:v>
                </c:pt>
                <c:pt idx="12">
                  <c:v>-0.46311550352264241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FD-4A85-9306-99B99BBE3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952984"/>
        <c:axId val="1"/>
      </c:scatterChart>
      <c:valAx>
        <c:axId val="725952984"/>
        <c:scaling>
          <c:orientation val="minMax"/>
          <c:min val="7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952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86123584309634"/>
          <c:y val="0.9204921861831491"/>
          <c:w val="0.7092089094678997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Per - O-C Diagr.</a:t>
            </a:r>
          </a:p>
        </c:rich>
      </c:tx>
      <c:layout>
        <c:manualLayout>
          <c:xMode val="edge"/>
          <c:yMode val="edge"/>
          <c:x val="0.3790322580645161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634168126798494"/>
          <c:w val="0.8241935483870968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4D-4023-8677-350DA8D443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Active!$D$22:$D$47</c:f>
                <c:numCache>
                  <c:formatCode>General</c:formatCode>
                  <c:ptCount val="26"/>
                  <c:pt idx="0">
                    <c:v>0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6.9999999999999999E-4</c:v>
                  </c:pt>
                  <c:pt idx="11">
                    <c:v>1.4E-3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8">
                  <c:v>-0.3615669999999227</c:v>
                </c:pt>
                <c:pt idx="9">
                  <c:v>-0.36636100000032457</c:v>
                </c:pt>
                <c:pt idx="10">
                  <c:v>-0.38446899999689776</c:v>
                </c:pt>
                <c:pt idx="11">
                  <c:v>-0.41789900000003399</c:v>
                </c:pt>
                <c:pt idx="12">
                  <c:v>-0.46350099999835948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4D-4023-8677-350DA8D4437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  <c:pt idx="1">
                    <c:v>0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1.4E-3</c:v>
                  </c:pt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  <c:pt idx="1">
                    <c:v>0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4D-4023-8677-350DA8D4437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-4.9999999973806553E-3</c:v>
                </c:pt>
                <c:pt idx="2">
                  <c:v>7.4640000020735897E-3</c:v>
                </c:pt>
                <c:pt idx="3">
                  <c:v>-1.385600000503473E-2</c:v>
                </c:pt>
                <c:pt idx="4">
                  <c:v>1.5006000001449138E-2</c:v>
                </c:pt>
                <c:pt idx="5">
                  <c:v>-4.6339999971678481E-3</c:v>
                </c:pt>
                <c:pt idx="6">
                  <c:v>-0.27220200000010664</c:v>
                </c:pt>
                <c:pt idx="7">
                  <c:v>0.52997099999629427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4D-4023-8677-350DA8D4437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4D-4023-8677-350DA8D443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4D-4023-8677-350DA8D443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4D-4023-8677-350DA8D443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2">
                  <c:v>136</c:v>
                </c:pt>
                <c:pt idx="3">
                  <c:v>456</c:v>
                </c:pt>
                <c:pt idx="4">
                  <c:v>519</c:v>
                </c:pt>
                <c:pt idx="5">
                  <c:v>659</c:v>
                </c:pt>
                <c:pt idx="6">
                  <c:v>1527</c:v>
                </c:pt>
                <c:pt idx="7">
                  <c:v>5991.5</c:v>
                </c:pt>
                <c:pt idx="8">
                  <c:v>7704.5</c:v>
                </c:pt>
                <c:pt idx="9">
                  <c:v>7723.5</c:v>
                </c:pt>
                <c:pt idx="10">
                  <c:v>7831.5</c:v>
                </c:pt>
                <c:pt idx="11">
                  <c:v>7986.5</c:v>
                </c:pt>
                <c:pt idx="12">
                  <c:v>8213.5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1.180506562057432</c:v>
                </c:pt>
                <c:pt idx="1">
                  <c:v>1.180506562057432</c:v>
                </c:pt>
                <c:pt idx="2">
                  <c:v>1.1532912943982259</c:v>
                </c:pt>
                <c:pt idx="3">
                  <c:v>1.0892553704942112</c:v>
                </c:pt>
                <c:pt idx="4">
                  <c:v>1.0766482979756082</c:v>
                </c:pt>
                <c:pt idx="5">
                  <c:v>1.0486325812676021</c:v>
                </c:pt>
                <c:pt idx="6">
                  <c:v>0.87493513767796238</c:v>
                </c:pt>
                <c:pt idx="7">
                  <c:v>-1.8466056914141271E-2</c:v>
                </c:pt>
                <c:pt idx="8">
                  <c:v>-0.36125836206281936</c:v>
                </c:pt>
                <c:pt idx="9">
                  <c:v>-0.36506049504462013</c:v>
                </c:pt>
                <c:pt idx="10">
                  <c:v>-0.38667261936222519</c:v>
                </c:pt>
                <c:pt idx="11">
                  <c:v>-0.41769002000323208</c:v>
                </c:pt>
                <c:pt idx="12">
                  <c:v>-0.46311550352264241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4D-4023-8677-350DA8D44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968464"/>
        <c:axId val="1"/>
      </c:scatterChart>
      <c:valAx>
        <c:axId val="725968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968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70967741935485"/>
          <c:y val="0.92073298764483702"/>
          <c:w val="0.70806451612903221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123825</xdr:colOff>
      <xdr:row>18</xdr:row>
      <xdr:rowOff>95250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D6FFE96-7D7B-4A80-E09F-FA74D6CC6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276225</xdr:colOff>
      <xdr:row>0</xdr:row>
      <xdr:rowOff>38100</xdr:rowOff>
    </xdr:from>
    <xdr:to>
      <xdr:col>26</xdr:col>
      <xdr:colOff>514350</xdr:colOff>
      <xdr:row>18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AD3F177A-97C6-16D5-5A9E-E4634BC11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5960" TargetMode="External"/><Relationship Id="rId5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konkoly.hu/cgi-bin/IBVS?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44</v>
      </c>
    </row>
    <row r="2" spans="1:6" s="32" customFormat="1" ht="12.95" customHeight="1" x14ac:dyDescent="0.2">
      <c r="A2" s="32" t="s">
        <v>25</v>
      </c>
      <c r="B2" s="32" t="s">
        <v>29</v>
      </c>
    </row>
    <row r="3" spans="1:6" s="32" customFormat="1" ht="12.95" customHeight="1" x14ac:dyDescent="0.2"/>
    <row r="4" spans="1:6" s="32" customFormat="1" ht="12.95" customHeight="1" thickTop="1" thickBot="1" x14ac:dyDescent="0.25">
      <c r="A4" s="33" t="s">
        <v>0</v>
      </c>
      <c r="C4" s="34">
        <v>34099.396000000001</v>
      </c>
      <c r="D4" s="35">
        <v>2.7795260000000002</v>
      </c>
    </row>
    <row r="5" spans="1:6" s="32" customFormat="1" ht="12.95" customHeight="1" thickTop="1" x14ac:dyDescent="0.2">
      <c r="A5" s="36" t="s">
        <v>31</v>
      </c>
      <c r="C5" s="37">
        <v>-9.5</v>
      </c>
      <c r="D5" s="32" t="s">
        <v>32</v>
      </c>
    </row>
    <row r="6" spans="1:6" s="32" customFormat="1" ht="12.95" customHeight="1" x14ac:dyDescent="0.2">
      <c r="A6" s="33" t="s">
        <v>1</v>
      </c>
    </row>
    <row r="7" spans="1:6" s="32" customFormat="1" ht="12.95" customHeight="1" x14ac:dyDescent="0.2">
      <c r="A7" s="32" t="s">
        <v>2</v>
      </c>
      <c r="C7" s="32">
        <f>+C4</f>
        <v>34099.396000000001</v>
      </c>
    </row>
    <row r="8" spans="1:6" s="32" customFormat="1" ht="12.95" customHeight="1" x14ac:dyDescent="0.2">
      <c r="A8" s="32" t="s">
        <v>3</v>
      </c>
      <c r="C8" s="32">
        <f>+D4</f>
        <v>2.7795260000000002</v>
      </c>
    </row>
    <row r="9" spans="1:6" s="32" customFormat="1" ht="12.95" customHeight="1" x14ac:dyDescent="0.2">
      <c r="A9" s="38" t="s">
        <v>38</v>
      </c>
      <c r="B9" s="39">
        <v>29</v>
      </c>
      <c r="C9" s="40" t="str">
        <f>"F"&amp;B9</f>
        <v>F29</v>
      </c>
      <c r="D9" s="41" t="str">
        <f>"G"&amp;B9</f>
        <v>G29</v>
      </c>
    </row>
    <row r="10" spans="1:6" s="32" customFormat="1" ht="12.95" customHeight="1" thickBot="1" x14ac:dyDescent="0.25">
      <c r="C10" s="42" t="s">
        <v>21</v>
      </c>
      <c r="D10" s="42" t="s">
        <v>22</v>
      </c>
    </row>
    <row r="11" spans="1:6" s="32" customFormat="1" ht="12.95" customHeight="1" x14ac:dyDescent="0.2">
      <c r="A11" s="32" t="s">
        <v>16</v>
      </c>
      <c r="C11" s="41">
        <f ca="1">INTERCEPT(INDIRECT($D$9):G992,INDIRECT($C$9):F992)</f>
        <v>1.180506562057432</v>
      </c>
      <c r="D11" s="43"/>
    </row>
    <row r="12" spans="1:6" s="32" customFormat="1" ht="12.95" customHeight="1" x14ac:dyDescent="0.2">
      <c r="A12" s="32" t="s">
        <v>17</v>
      </c>
      <c r="C12" s="41">
        <f ca="1">SLOPE(INDIRECT($D$9):G992,INDIRECT($C$9):F992)</f>
        <v>-2.001122622000456E-4</v>
      </c>
      <c r="D12" s="43"/>
    </row>
    <row r="13" spans="1:6" s="32" customFormat="1" ht="12.95" customHeight="1" x14ac:dyDescent="0.2">
      <c r="A13" s="32" t="s">
        <v>20</v>
      </c>
      <c r="C13" s="43" t="s">
        <v>14</v>
      </c>
    </row>
    <row r="14" spans="1:6" s="32" customFormat="1" ht="12.95" customHeight="1" x14ac:dyDescent="0.2"/>
    <row r="15" spans="1:6" s="32" customFormat="1" ht="12.95" customHeight="1" x14ac:dyDescent="0.2">
      <c r="A15" s="44" t="s">
        <v>18</v>
      </c>
      <c r="C15" s="45">
        <f ca="1">(C7+C11)+(C8+C12)*INT(MAX(F21:F3533))</f>
        <v>56927.180022552609</v>
      </c>
      <c r="E15" s="46" t="s">
        <v>33</v>
      </c>
      <c r="F15" s="37">
        <v>1</v>
      </c>
    </row>
    <row r="16" spans="1:6" s="32" customFormat="1" ht="12.95" customHeight="1" x14ac:dyDescent="0.2">
      <c r="A16" s="33" t="s">
        <v>4</v>
      </c>
      <c r="C16" s="47">
        <f ca="1">+C8+C12</f>
        <v>2.7793258877378002</v>
      </c>
      <c r="E16" s="46" t="s">
        <v>34</v>
      </c>
      <c r="F16" s="48">
        <f ca="1">NOW()+15018.5+$C$5/24</f>
        <v>60372.747446643516</v>
      </c>
    </row>
    <row r="17" spans="1:17" s="32" customFormat="1" ht="12.95" customHeight="1" thickBot="1" x14ac:dyDescent="0.25">
      <c r="A17" s="46" t="s">
        <v>30</v>
      </c>
      <c r="C17" s="32">
        <f>COUNT(C21:C2191)</f>
        <v>13</v>
      </c>
      <c r="E17" s="46" t="s">
        <v>35</v>
      </c>
      <c r="F17" s="48">
        <f ca="1">ROUND(2*(F16-$C$7)/$C$8,0)/2+F15</f>
        <v>9453.5</v>
      </c>
    </row>
    <row r="18" spans="1:17" s="32" customFormat="1" ht="12.95" customHeight="1" thickTop="1" thickBot="1" x14ac:dyDescent="0.25">
      <c r="A18" s="33" t="s">
        <v>5</v>
      </c>
      <c r="C18" s="34">
        <f ca="1">+C15</f>
        <v>56927.180022552609</v>
      </c>
      <c r="D18" s="35">
        <f ca="1">+C16</f>
        <v>2.7793258877378002</v>
      </c>
      <c r="E18" s="46" t="s">
        <v>36</v>
      </c>
      <c r="F18" s="41">
        <f ca="1">ROUND(2*(F16-$C$15)/$C$16,0)/2+F15</f>
        <v>1240.5</v>
      </c>
    </row>
    <row r="19" spans="1:17" s="32" customFormat="1" ht="12.95" customHeight="1" thickTop="1" x14ac:dyDescent="0.2">
      <c r="E19" s="46" t="s">
        <v>37</v>
      </c>
      <c r="F19" s="49">
        <f ca="1">+$C$15+$C$16*F18-15018.5-$C$5/24</f>
        <v>45356.829619624688</v>
      </c>
    </row>
    <row r="20" spans="1:17" s="32" customFormat="1" ht="12.95" customHeight="1" thickBot="1" x14ac:dyDescent="0.25">
      <c r="A20" s="42" t="s">
        <v>6</v>
      </c>
      <c r="B20" s="42" t="s">
        <v>7</v>
      </c>
      <c r="C20" s="42" t="s">
        <v>8</v>
      </c>
      <c r="D20" s="42" t="s">
        <v>13</v>
      </c>
      <c r="E20" s="42" t="s">
        <v>9</v>
      </c>
      <c r="F20" s="42" t="s">
        <v>10</v>
      </c>
      <c r="G20" s="42" t="s">
        <v>11</v>
      </c>
      <c r="H20" s="50" t="s">
        <v>12</v>
      </c>
      <c r="I20" s="50" t="s">
        <v>49</v>
      </c>
      <c r="J20" s="50" t="s">
        <v>19</v>
      </c>
      <c r="K20" s="50" t="s">
        <v>110</v>
      </c>
      <c r="L20" s="50" t="s">
        <v>26</v>
      </c>
      <c r="M20" s="50" t="s">
        <v>27</v>
      </c>
      <c r="N20" s="50" t="s">
        <v>28</v>
      </c>
      <c r="O20" s="50" t="s">
        <v>24</v>
      </c>
      <c r="P20" s="51" t="s">
        <v>23</v>
      </c>
      <c r="Q20" s="42" t="s">
        <v>15</v>
      </c>
    </row>
    <row r="21" spans="1:17" s="32" customFormat="1" ht="12.95" customHeight="1" x14ac:dyDescent="0.2">
      <c r="A21" s="52" t="s">
        <v>63</v>
      </c>
      <c r="B21" s="53" t="s">
        <v>40</v>
      </c>
      <c r="C21" s="54">
        <v>34099.391000000003</v>
      </c>
      <c r="D21" s="55"/>
      <c r="E21" s="32">
        <f t="shared" ref="E21:E33" si="0">+(C21-C$7)/C$8</f>
        <v>-1.7988678635784141E-3</v>
      </c>
      <c r="F21" s="32">
        <f t="shared" ref="F21:F33" si="1">ROUND(2*E21,0)/2</f>
        <v>0</v>
      </c>
      <c r="G21" s="32">
        <f t="shared" ref="G21:G33" si="2">+C21-(C$7+F21*C$8)</f>
        <v>-4.9999999973806553E-3</v>
      </c>
      <c r="K21" s="32">
        <f>+G21</f>
        <v>-4.9999999973806553E-3</v>
      </c>
      <c r="O21" s="32">
        <f t="shared" ref="O21:O33" ca="1" si="3">+C$11+C$12*F21</f>
        <v>1.180506562057432</v>
      </c>
      <c r="Q21" s="56">
        <f t="shared" ref="Q21:Q33" si="4">+C21-15018.5</f>
        <v>19080.891000000003</v>
      </c>
    </row>
    <row r="22" spans="1:17" s="32" customFormat="1" ht="12.95" customHeight="1" x14ac:dyDescent="0.2">
      <c r="A22" s="57" t="s">
        <v>12</v>
      </c>
      <c r="B22" s="57"/>
      <c r="C22" s="12">
        <v>34099.396000000001</v>
      </c>
      <c r="D22" s="12" t="s">
        <v>14</v>
      </c>
      <c r="E22" s="32">
        <f t="shared" si="0"/>
        <v>0</v>
      </c>
      <c r="F22" s="32">
        <f t="shared" si="1"/>
        <v>0</v>
      </c>
      <c r="G22" s="32">
        <f t="shared" si="2"/>
        <v>0</v>
      </c>
      <c r="H22" s="32">
        <f>+G22</f>
        <v>0</v>
      </c>
      <c r="O22" s="32">
        <f t="shared" ca="1" si="3"/>
        <v>1.180506562057432</v>
      </c>
      <c r="Q22" s="56">
        <f t="shared" si="4"/>
        <v>19080.896000000001</v>
      </c>
    </row>
    <row r="23" spans="1:17" s="32" customFormat="1" ht="12.95" customHeight="1" x14ac:dyDescent="0.2">
      <c r="A23" s="52" t="s">
        <v>63</v>
      </c>
      <c r="B23" s="53" t="s">
        <v>40</v>
      </c>
      <c r="C23" s="54">
        <v>34477.419000000002</v>
      </c>
      <c r="D23" s="55"/>
      <c r="E23" s="32">
        <f t="shared" si="0"/>
        <v>136.00268534994854</v>
      </c>
      <c r="F23" s="32">
        <f t="shared" si="1"/>
        <v>136</v>
      </c>
      <c r="G23" s="32">
        <f t="shared" si="2"/>
        <v>7.4640000020735897E-3</v>
      </c>
      <c r="K23" s="32">
        <f t="shared" ref="K23:K28" si="5">+G23</f>
        <v>7.4640000020735897E-3</v>
      </c>
      <c r="O23" s="32">
        <f t="shared" ca="1" si="3"/>
        <v>1.1532912943982259</v>
      </c>
      <c r="Q23" s="56">
        <f t="shared" si="4"/>
        <v>19458.919000000002</v>
      </c>
    </row>
    <row r="24" spans="1:17" s="32" customFormat="1" ht="12.95" customHeight="1" x14ac:dyDescent="0.2">
      <c r="A24" s="52" t="s">
        <v>63</v>
      </c>
      <c r="B24" s="53" t="s">
        <v>40</v>
      </c>
      <c r="C24" s="54">
        <v>35366.845999999998</v>
      </c>
      <c r="D24" s="55"/>
      <c r="E24" s="32">
        <f t="shared" si="0"/>
        <v>455.99501497737276</v>
      </c>
      <c r="F24" s="32">
        <f t="shared" si="1"/>
        <v>456</v>
      </c>
      <c r="G24" s="32">
        <f t="shared" si="2"/>
        <v>-1.385600000503473E-2</v>
      </c>
      <c r="K24" s="32">
        <f t="shared" si="5"/>
        <v>-1.385600000503473E-2</v>
      </c>
      <c r="O24" s="32">
        <f t="shared" ca="1" si="3"/>
        <v>1.0892553704942112</v>
      </c>
      <c r="Q24" s="56">
        <f t="shared" si="4"/>
        <v>20348.345999999998</v>
      </c>
    </row>
    <row r="25" spans="1:17" s="32" customFormat="1" ht="12.95" customHeight="1" x14ac:dyDescent="0.2">
      <c r="A25" s="52" t="s">
        <v>63</v>
      </c>
      <c r="B25" s="53" t="s">
        <v>40</v>
      </c>
      <c r="C25" s="54">
        <v>35541.985000000001</v>
      </c>
      <c r="D25" s="55"/>
      <c r="E25" s="32">
        <f t="shared" si="0"/>
        <v>519.0053987622349</v>
      </c>
      <c r="F25" s="32">
        <f t="shared" si="1"/>
        <v>519</v>
      </c>
      <c r="G25" s="32">
        <f t="shared" si="2"/>
        <v>1.5006000001449138E-2</v>
      </c>
      <c r="K25" s="32">
        <f t="shared" si="5"/>
        <v>1.5006000001449138E-2</v>
      </c>
      <c r="O25" s="32">
        <f t="shared" ca="1" si="3"/>
        <v>1.0766482979756082</v>
      </c>
      <c r="Q25" s="56">
        <f t="shared" si="4"/>
        <v>20523.485000000001</v>
      </c>
    </row>
    <row r="26" spans="1:17" x14ac:dyDescent="0.2">
      <c r="A26" s="29" t="s">
        <v>63</v>
      </c>
      <c r="B26" s="31" t="s">
        <v>40</v>
      </c>
      <c r="C26" s="30">
        <v>35931.099000000002</v>
      </c>
      <c r="D26" s="3"/>
      <c r="E26">
        <f t="shared" si="0"/>
        <v>658.99833280926362</v>
      </c>
      <c r="F26">
        <f t="shared" si="1"/>
        <v>659</v>
      </c>
      <c r="G26">
        <f t="shared" si="2"/>
        <v>-4.6339999971678481E-3</v>
      </c>
      <c r="K26">
        <f t="shared" si="5"/>
        <v>-4.6339999971678481E-3</v>
      </c>
      <c r="O26">
        <f t="shared" ca="1" si="3"/>
        <v>1.0486325812676021</v>
      </c>
      <c r="Q26" s="2">
        <f t="shared" si="4"/>
        <v>20912.599000000002</v>
      </c>
    </row>
    <row r="27" spans="1:17" x14ac:dyDescent="0.2">
      <c r="A27" s="29" t="s">
        <v>79</v>
      </c>
      <c r="B27" s="31" t="s">
        <v>40</v>
      </c>
      <c r="C27" s="30">
        <v>38343.46</v>
      </c>
      <c r="D27" s="3"/>
      <c r="E27">
        <f t="shared" si="0"/>
        <v>1526.9020689139077</v>
      </c>
      <c r="F27">
        <f t="shared" si="1"/>
        <v>1527</v>
      </c>
      <c r="G27">
        <f t="shared" si="2"/>
        <v>-0.27220200000010664</v>
      </c>
      <c r="K27">
        <f t="shared" si="5"/>
        <v>-0.27220200000010664</v>
      </c>
      <c r="O27">
        <f t="shared" ca="1" si="3"/>
        <v>0.87493513767796238</v>
      </c>
      <c r="Q27" s="2">
        <f t="shared" si="4"/>
        <v>23324.959999999999</v>
      </c>
    </row>
    <row r="28" spans="1:17" x14ac:dyDescent="0.2">
      <c r="A28" s="29" t="s">
        <v>85</v>
      </c>
      <c r="B28" s="31" t="s">
        <v>40</v>
      </c>
      <c r="C28" s="30">
        <v>50753.455999999998</v>
      </c>
      <c r="D28" s="3"/>
      <c r="E28">
        <f t="shared" si="0"/>
        <v>5991.6906695602047</v>
      </c>
      <c r="F28">
        <f t="shared" si="1"/>
        <v>5991.5</v>
      </c>
      <c r="G28">
        <f t="shared" si="2"/>
        <v>0.52997099999629427</v>
      </c>
      <c r="K28">
        <f t="shared" si="5"/>
        <v>0.52997099999629427</v>
      </c>
      <c r="O28">
        <f t="shared" ca="1" si="3"/>
        <v>-1.8466056914141271E-2</v>
      </c>
      <c r="Q28" s="2">
        <f t="shared" si="4"/>
        <v>35734.955999999998</v>
      </c>
    </row>
    <row r="29" spans="1:17" x14ac:dyDescent="0.2">
      <c r="A29" s="10" t="s">
        <v>39</v>
      </c>
      <c r="B29" s="11" t="s">
        <v>40</v>
      </c>
      <c r="C29" s="9">
        <v>55513.892500000002</v>
      </c>
      <c r="D29" s="9">
        <v>6.9999999999999999E-4</v>
      </c>
      <c r="E29">
        <f t="shared" si="0"/>
        <v>7704.369917748566</v>
      </c>
      <c r="F29">
        <f t="shared" si="1"/>
        <v>7704.5</v>
      </c>
      <c r="G29">
        <f t="shared" si="2"/>
        <v>-0.3615669999999227</v>
      </c>
      <c r="I29">
        <f>+G29</f>
        <v>-0.3615669999999227</v>
      </c>
      <c r="O29">
        <f t="shared" ca="1" si="3"/>
        <v>-0.36125836206281936</v>
      </c>
      <c r="Q29" s="2">
        <f t="shared" si="4"/>
        <v>40495.392500000002</v>
      </c>
    </row>
    <row r="30" spans="1:17" x14ac:dyDescent="0.2">
      <c r="A30" s="12" t="s">
        <v>41</v>
      </c>
      <c r="B30" s="13" t="s">
        <v>42</v>
      </c>
      <c r="C30" s="12">
        <v>55566.698700000001</v>
      </c>
      <c r="D30" s="12">
        <v>2.9999999999999997E-4</v>
      </c>
      <c r="E30">
        <f t="shared" si="0"/>
        <v>7723.3681929940567</v>
      </c>
      <c r="F30">
        <f t="shared" si="1"/>
        <v>7723.5</v>
      </c>
      <c r="G30">
        <f t="shared" si="2"/>
        <v>-0.36636100000032457</v>
      </c>
      <c r="I30">
        <f>+G30</f>
        <v>-0.36636100000032457</v>
      </c>
      <c r="O30">
        <f t="shared" ca="1" si="3"/>
        <v>-0.36506049504462013</v>
      </c>
      <c r="Q30" s="2">
        <f t="shared" si="4"/>
        <v>40548.198700000001</v>
      </c>
    </row>
    <row r="31" spans="1:17" x14ac:dyDescent="0.2">
      <c r="A31" s="12" t="s">
        <v>43</v>
      </c>
      <c r="B31" s="13" t="s">
        <v>40</v>
      </c>
      <c r="C31" s="12">
        <v>55866.869400000003</v>
      </c>
      <c r="D31" s="12">
        <v>6.9999999999999999E-4</v>
      </c>
      <c r="E31">
        <f t="shared" si="0"/>
        <v>7831.3616782141999</v>
      </c>
      <c r="F31">
        <f t="shared" si="1"/>
        <v>7831.5</v>
      </c>
      <c r="G31">
        <f t="shared" si="2"/>
        <v>-0.38446899999689776</v>
      </c>
      <c r="I31">
        <f>+G31</f>
        <v>-0.38446899999689776</v>
      </c>
      <c r="O31">
        <f t="shared" ca="1" si="3"/>
        <v>-0.38667261936222519</v>
      </c>
      <c r="Q31" s="2">
        <f t="shared" si="4"/>
        <v>40848.369400000003</v>
      </c>
    </row>
    <row r="32" spans="1:17" x14ac:dyDescent="0.2">
      <c r="A32" s="6" t="s">
        <v>45</v>
      </c>
      <c r="B32" s="7" t="s">
        <v>40</v>
      </c>
      <c r="C32" s="8">
        <v>56297.662499999999</v>
      </c>
      <c r="D32" s="8">
        <v>6.9999999999999999E-4</v>
      </c>
      <c r="E32">
        <f t="shared" si="0"/>
        <v>7986.3496509836559</v>
      </c>
      <c r="F32">
        <f t="shared" si="1"/>
        <v>7986.5</v>
      </c>
      <c r="G32">
        <f t="shared" si="2"/>
        <v>-0.41789900000003399</v>
      </c>
      <c r="I32">
        <f>+G32</f>
        <v>-0.41789900000003399</v>
      </c>
      <c r="O32">
        <f t="shared" ca="1" si="3"/>
        <v>-0.41769002000323208</v>
      </c>
      <c r="Q32" s="2">
        <f t="shared" si="4"/>
        <v>41279.162499999999</v>
      </c>
    </row>
    <row r="33" spans="1:17" x14ac:dyDescent="0.2">
      <c r="A33" s="14" t="s">
        <v>46</v>
      </c>
      <c r="B33" s="15"/>
      <c r="C33" s="14">
        <v>56928.569300000003</v>
      </c>
      <c r="D33" s="14">
        <v>1.4E-3</v>
      </c>
      <c r="E33">
        <f t="shared" si="0"/>
        <v>8213.3332445891865</v>
      </c>
      <c r="F33">
        <f t="shared" si="1"/>
        <v>8213.5</v>
      </c>
      <c r="G33">
        <f t="shared" si="2"/>
        <v>-0.46350099999835948</v>
      </c>
      <c r="I33">
        <f>+G33</f>
        <v>-0.46350099999835948</v>
      </c>
      <c r="O33">
        <f t="shared" ca="1" si="3"/>
        <v>-0.46311550352264241</v>
      </c>
      <c r="Q33" s="2">
        <f t="shared" si="4"/>
        <v>41910.069300000003</v>
      </c>
    </row>
    <row r="34" spans="1:17" x14ac:dyDescent="0.2">
      <c r="C34" s="3"/>
      <c r="D34" s="3"/>
    </row>
    <row r="35" spans="1:17" x14ac:dyDescent="0.2">
      <c r="C35" s="3"/>
      <c r="D35" s="3"/>
    </row>
    <row r="36" spans="1:17" x14ac:dyDescent="0.2">
      <c r="C36" s="3"/>
      <c r="D36" s="3"/>
    </row>
    <row r="37" spans="1:17" x14ac:dyDescent="0.2">
      <c r="C37" s="3"/>
      <c r="D37" s="3"/>
    </row>
    <row r="38" spans="1:17" x14ac:dyDescent="0.2">
      <c r="C38" s="3"/>
      <c r="D38" s="3"/>
    </row>
    <row r="39" spans="1:17" x14ac:dyDescent="0.2">
      <c r="C39" s="3"/>
      <c r="D39" s="3"/>
    </row>
    <row r="40" spans="1:17" x14ac:dyDescent="0.2">
      <c r="C40" s="3"/>
      <c r="D40" s="3"/>
    </row>
    <row r="41" spans="1:17" x14ac:dyDescent="0.2">
      <c r="C41" s="3"/>
      <c r="D41" s="3"/>
    </row>
    <row r="42" spans="1:17" x14ac:dyDescent="0.2">
      <c r="C42" s="3"/>
      <c r="D42" s="3"/>
    </row>
    <row r="43" spans="1:17" x14ac:dyDescent="0.2">
      <c r="C43" s="3"/>
      <c r="D43" s="3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6"/>
  <sheetViews>
    <sheetView workbookViewId="0">
      <selection activeCell="A16" sqref="A16:C22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6" t="s">
        <v>47</v>
      </c>
      <c r="I1" s="17" t="s">
        <v>48</v>
      </c>
      <c r="J1" s="18" t="s">
        <v>49</v>
      </c>
    </row>
    <row r="2" spans="1:16" x14ac:dyDescent="0.2">
      <c r="I2" s="19" t="s">
        <v>50</v>
      </c>
      <c r="J2" s="20" t="s">
        <v>51</v>
      </c>
    </row>
    <row r="3" spans="1:16" x14ac:dyDescent="0.2">
      <c r="A3" s="21" t="s">
        <v>52</v>
      </c>
      <c r="I3" s="19" t="s">
        <v>53</v>
      </c>
      <c r="J3" s="20" t="s">
        <v>54</v>
      </c>
    </row>
    <row r="4" spans="1:16" x14ac:dyDescent="0.2">
      <c r="I4" s="19" t="s">
        <v>55</v>
      </c>
      <c r="J4" s="20" t="s">
        <v>54</v>
      </c>
    </row>
    <row r="5" spans="1:16" ht="13.5" thickBot="1" x14ac:dyDescent="0.25">
      <c r="I5" s="22" t="s">
        <v>56</v>
      </c>
      <c r="J5" s="23" t="s">
        <v>57</v>
      </c>
    </row>
    <row r="10" spans="1:16" ht="13.5" thickBot="1" x14ac:dyDescent="0.25"/>
    <row r="11" spans="1:16" ht="12.75" customHeight="1" thickBot="1" x14ac:dyDescent="0.25">
      <c r="A11" s="3" t="str">
        <f t="shared" ref="A11:A22" si="0">P11</f>
        <v>IBVS 5960 </v>
      </c>
      <c r="B11" s="5" t="str">
        <f t="shared" ref="B11:B22" si="1">IF(H11=INT(H11),"I","II")</f>
        <v>II</v>
      </c>
      <c r="C11" s="3">
        <f t="shared" ref="C11:C22" si="2">1*G11</f>
        <v>55513.892500000002</v>
      </c>
      <c r="D11" s="4" t="str">
        <f t="shared" ref="D11:D22" si="3">VLOOKUP(F11,I$1:J$5,2,FALSE)</f>
        <v>vis</v>
      </c>
      <c r="E11" s="24">
        <f>VLOOKUP(C11,Active!C$21:E$973,3,FALSE)</f>
        <v>7704.369917748566</v>
      </c>
      <c r="F11" s="5" t="s">
        <v>56</v>
      </c>
      <c r="G11" s="4" t="str">
        <f t="shared" ref="G11:G22" si="4">MID(I11,3,LEN(I11)-3)</f>
        <v>55513.8925</v>
      </c>
      <c r="H11" s="3">
        <f t="shared" ref="H11:H22" si="5">1*K11</f>
        <v>7704.5</v>
      </c>
      <c r="I11" s="25" t="s">
        <v>86</v>
      </c>
      <c r="J11" s="26" t="s">
        <v>87</v>
      </c>
      <c r="K11" s="25">
        <v>7704.5</v>
      </c>
      <c r="L11" s="25" t="s">
        <v>88</v>
      </c>
      <c r="M11" s="26" t="s">
        <v>89</v>
      </c>
      <c r="N11" s="26" t="s">
        <v>56</v>
      </c>
      <c r="O11" s="27" t="s">
        <v>90</v>
      </c>
      <c r="P11" s="28" t="s">
        <v>91</v>
      </c>
    </row>
    <row r="12" spans="1:16" ht="12.75" customHeight="1" thickBot="1" x14ac:dyDescent="0.25">
      <c r="A12" s="3" t="str">
        <f t="shared" si="0"/>
        <v>IBVS 5992 </v>
      </c>
      <c r="B12" s="5" t="str">
        <f t="shared" si="1"/>
        <v>II</v>
      </c>
      <c r="C12" s="3">
        <f t="shared" si="2"/>
        <v>55566.698700000001</v>
      </c>
      <c r="D12" s="4" t="str">
        <f t="shared" si="3"/>
        <v>vis</v>
      </c>
      <c r="E12" s="24">
        <f>VLOOKUP(C12,Active!C$21:E$973,3,FALSE)</f>
        <v>7723.3681929940567</v>
      </c>
      <c r="F12" s="5" t="s">
        <v>56</v>
      </c>
      <c r="G12" s="4" t="str">
        <f t="shared" si="4"/>
        <v>55566.6987</v>
      </c>
      <c r="H12" s="3">
        <f t="shared" si="5"/>
        <v>7723.5</v>
      </c>
      <c r="I12" s="25" t="s">
        <v>92</v>
      </c>
      <c r="J12" s="26" t="s">
        <v>93</v>
      </c>
      <c r="K12" s="25">
        <v>7723.5</v>
      </c>
      <c r="L12" s="25" t="s">
        <v>94</v>
      </c>
      <c r="M12" s="26" t="s">
        <v>89</v>
      </c>
      <c r="N12" s="26" t="s">
        <v>56</v>
      </c>
      <c r="O12" s="27" t="s">
        <v>90</v>
      </c>
      <c r="P12" s="28" t="s">
        <v>95</v>
      </c>
    </row>
    <row r="13" spans="1:16" ht="12.75" customHeight="1" thickBot="1" x14ac:dyDescent="0.25">
      <c r="A13" s="3" t="str">
        <f t="shared" si="0"/>
        <v>IBVS 6011 </v>
      </c>
      <c r="B13" s="5" t="str">
        <f t="shared" si="1"/>
        <v>II</v>
      </c>
      <c r="C13" s="3">
        <f t="shared" si="2"/>
        <v>55866.869400000003</v>
      </c>
      <c r="D13" s="4" t="str">
        <f t="shared" si="3"/>
        <v>vis</v>
      </c>
      <c r="E13" s="24">
        <f>VLOOKUP(C13,Active!C$21:E$973,3,FALSE)</f>
        <v>7831.3616782141999</v>
      </c>
      <c r="F13" s="5" t="s">
        <v>56</v>
      </c>
      <c r="G13" s="4" t="str">
        <f t="shared" si="4"/>
        <v>55866.8694</v>
      </c>
      <c r="H13" s="3">
        <f t="shared" si="5"/>
        <v>7831.5</v>
      </c>
      <c r="I13" s="25" t="s">
        <v>96</v>
      </c>
      <c r="J13" s="26" t="s">
        <v>97</v>
      </c>
      <c r="K13" s="25">
        <v>7831.5</v>
      </c>
      <c r="L13" s="25" t="s">
        <v>98</v>
      </c>
      <c r="M13" s="26" t="s">
        <v>89</v>
      </c>
      <c r="N13" s="26" t="s">
        <v>56</v>
      </c>
      <c r="O13" s="27" t="s">
        <v>90</v>
      </c>
      <c r="P13" s="28" t="s">
        <v>99</v>
      </c>
    </row>
    <row r="14" spans="1:16" ht="12.75" customHeight="1" thickBot="1" x14ac:dyDescent="0.25">
      <c r="A14" s="3" t="str">
        <f t="shared" si="0"/>
        <v>IBVS 6063 </v>
      </c>
      <c r="B14" s="5" t="str">
        <f t="shared" si="1"/>
        <v>II</v>
      </c>
      <c r="C14" s="3">
        <f t="shared" si="2"/>
        <v>56297.662499999999</v>
      </c>
      <c r="D14" s="4" t="str">
        <f t="shared" si="3"/>
        <v>vis</v>
      </c>
      <c r="E14" s="24">
        <f>VLOOKUP(C14,Active!C$21:E$973,3,FALSE)</f>
        <v>7986.3496509836559</v>
      </c>
      <c r="F14" s="5" t="s">
        <v>56</v>
      </c>
      <c r="G14" s="4" t="str">
        <f t="shared" si="4"/>
        <v>56297.6625</v>
      </c>
      <c r="H14" s="3">
        <f t="shared" si="5"/>
        <v>7986.5</v>
      </c>
      <c r="I14" s="25" t="s">
        <v>100</v>
      </c>
      <c r="J14" s="26" t="s">
        <v>101</v>
      </c>
      <c r="K14" s="25">
        <v>7986.5</v>
      </c>
      <c r="L14" s="25" t="s">
        <v>102</v>
      </c>
      <c r="M14" s="26" t="s">
        <v>89</v>
      </c>
      <c r="N14" s="26" t="s">
        <v>56</v>
      </c>
      <c r="O14" s="27" t="s">
        <v>90</v>
      </c>
      <c r="P14" s="28" t="s">
        <v>103</v>
      </c>
    </row>
    <row r="15" spans="1:16" ht="12.75" customHeight="1" thickBot="1" x14ac:dyDescent="0.25">
      <c r="A15" s="3" t="str">
        <f t="shared" si="0"/>
        <v>BAVM 239 </v>
      </c>
      <c r="B15" s="5" t="str">
        <f t="shared" si="1"/>
        <v>II</v>
      </c>
      <c r="C15" s="3">
        <f t="shared" si="2"/>
        <v>56928.569300000003</v>
      </c>
      <c r="D15" s="4" t="str">
        <f t="shared" si="3"/>
        <v>vis</v>
      </c>
      <c r="E15" s="24">
        <f>VLOOKUP(C15,Active!C$21:E$973,3,FALSE)</f>
        <v>8213.3332445891865</v>
      </c>
      <c r="F15" s="5" t="s">
        <v>56</v>
      </c>
      <c r="G15" s="4" t="str">
        <f t="shared" si="4"/>
        <v>56928.5693</v>
      </c>
      <c r="H15" s="3">
        <f t="shared" si="5"/>
        <v>8213.5</v>
      </c>
      <c r="I15" s="25" t="s">
        <v>104</v>
      </c>
      <c r="J15" s="26" t="s">
        <v>105</v>
      </c>
      <c r="K15" s="25">
        <v>8213.5</v>
      </c>
      <c r="L15" s="25" t="s">
        <v>106</v>
      </c>
      <c r="M15" s="26" t="s">
        <v>89</v>
      </c>
      <c r="N15" s="26" t="s">
        <v>107</v>
      </c>
      <c r="O15" s="27" t="s">
        <v>108</v>
      </c>
      <c r="P15" s="28" t="s">
        <v>109</v>
      </c>
    </row>
    <row r="16" spans="1:16" ht="12.75" customHeight="1" thickBot="1" x14ac:dyDescent="0.25">
      <c r="A16" s="3" t="str">
        <f t="shared" si="0"/>
        <v> PZP 3.720 </v>
      </c>
      <c r="B16" s="5" t="str">
        <f t="shared" si="1"/>
        <v>I</v>
      </c>
      <c r="C16" s="3">
        <f t="shared" si="2"/>
        <v>34099.391000000003</v>
      </c>
      <c r="D16" s="4" t="str">
        <f t="shared" si="3"/>
        <v>vis</v>
      </c>
      <c r="E16" s="24">
        <f>VLOOKUP(C16,Active!C$21:E$973,3,FALSE)</f>
        <v>-1.7988678635784141E-3</v>
      </c>
      <c r="F16" s="5" t="s">
        <v>56</v>
      </c>
      <c r="G16" s="4" t="str">
        <f t="shared" si="4"/>
        <v>34099.391</v>
      </c>
      <c r="H16" s="3">
        <f t="shared" si="5"/>
        <v>0</v>
      </c>
      <c r="I16" s="25" t="s">
        <v>58</v>
      </c>
      <c r="J16" s="26" t="s">
        <v>59</v>
      </c>
      <c r="K16" s="25">
        <v>0</v>
      </c>
      <c r="L16" s="25" t="s">
        <v>60</v>
      </c>
      <c r="M16" s="26" t="s">
        <v>61</v>
      </c>
      <c r="N16" s="26"/>
      <c r="O16" s="27" t="s">
        <v>62</v>
      </c>
      <c r="P16" s="27" t="s">
        <v>63</v>
      </c>
    </row>
    <row r="17" spans="1:16" ht="12.75" customHeight="1" thickBot="1" x14ac:dyDescent="0.25">
      <c r="A17" s="3" t="str">
        <f t="shared" si="0"/>
        <v> PZP 3.720 </v>
      </c>
      <c r="B17" s="5" t="str">
        <f t="shared" si="1"/>
        <v>I</v>
      </c>
      <c r="C17" s="3">
        <f t="shared" si="2"/>
        <v>34477.419000000002</v>
      </c>
      <c r="D17" s="4" t="str">
        <f t="shared" si="3"/>
        <v>vis</v>
      </c>
      <c r="E17" s="24">
        <f>VLOOKUP(C17,Active!C$21:E$973,3,FALSE)</f>
        <v>136.00268534994854</v>
      </c>
      <c r="F17" s="5" t="s">
        <v>56</v>
      </c>
      <c r="G17" s="4" t="str">
        <f t="shared" si="4"/>
        <v>34477.419</v>
      </c>
      <c r="H17" s="3">
        <f t="shared" si="5"/>
        <v>136</v>
      </c>
      <c r="I17" s="25" t="s">
        <v>64</v>
      </c>
      <c r="J17" s="26" t="s">
        <v>65</v>
      </c>
      <c r="K17" s="25">
        <v>136</v>
      </c>
      <c r="L17" s="25" t="s">
        <v>66</v>
      </c>
      <c r="M17" s="26" t="s">
        <v>61</v>
      </c>
      <c r="N17" s="26"/>
      <c r="O17" s="27" t="s">
        <v>62</v>
      </c>
      <c r="P17" s="27" t="s">
        <v>63</v>
      </c>
    </row>
    <row r="18" spans="1:16" ht="12.75" customHeight="1" thickBot="1" x14ac:dyDescent="0.25">
      <c r="A18" s="3" t="str">
        <f t="shared" si="0"/>
        <v> PZP 3.720 </v>
      </c>
      <c r="B18" s="5" t="str">
        <f t="shared" si="1"/>
        <v>I</v>
      </c>
      <c r="C18" s="3">
        <f t="shared" si="2"/>
        <v>35366.845999999998</v>
      </c>
      <c r="D18" s="4" t="str">
        <f t="shared" si="3"/>
        <v>vis</v>
      </c>
      <c r="E18" s="24">
        <f>VLOOKUP(C18,Active!C$21:E$973,3,FALSE)</f>
        <v>455.99501497737276</v>
      </c>
      <c r="F18" s="5" t="s">
        <v>56</v>
      </c>
      <c r="G18" s="4" t="str">
        <f t="shared" si="4"/>
        <v>35366.846</v>
      </c>
      <c r="H18" s="3">
        <f t="shared" si="5"/>
        <v>456</v>
      </c>
      <c r="I18" s="25" t="s">
        <v>67</v>
      </c>
      <c r="J18" s="26" t="s">
        <v>68</v>
      </c>
      <c r="K18" s="25">
        <v>456</v>
      </c>
      <c r="L18" s="25" t="s">
        <v>69</v>
      </c>
      <c r="M18" s="26" t="s">
        <v>61</v>
      </c>
      <c r="N18" s="26"/>
      <c r="O18" s="27" t="s">
        <v>62</v>
      </c>
      <c r="P18" s="27" t="s">
        <v>63</v>
      </c>
    </row>
    <row r="19" spans="1:16" ht="12.75" customHeight="1" thickBot="1" x14ac:dyDescent="0.25">
      <c r="A19" s="3" t="str">
        <f t="shared" si="0"/>
        <v> PZP 3.720 </v>
      </c>
      <c r="B19" s="5" t="str">
        <f t="shared" si="1"/>
        <v>I</v>
      </c>
      <c r="C19" s="3">
        <f t="shared" si="2"/>
        <v>35541.985000000001</v>
      </c>
      <c r="D19" s="4" t="str">
        <f t="shared" si="3"/>
        <v>vis</v>
      </c>
      <c r="E19" s="24">
        <f>VLOOKUP(C19,Active!C$21:E$973,3,FALSE)</f>
        <v>519.0053987622349</v>
      </c>
      <c r="F19" s="5" t="s">
        <v>56</v>
      </c>
      <c r="G19" s="4" t="str">
        <f t="shared" si="4"/>
        <v>35541.985</v>
      </c>
      <c r="H19" s="3">
        <f t="shared" si="5"/>
        <v>519</v>
      </c>
      <c r="I19" s="25" t="s">
        <v>70</v>
      </c>
      <c r="J19" s="26" t="s">
        <v>71</v>
      </c>
      <c r="K19" s="25">
        <v>519</v>
      </c>
      <c r="L19" s="25" t="s">
        <v>72</v>
      </c>
      <c r="M19" s="26" t="s">
        <v>61</v>
      </c>
      <c r="N19" s="26"/>
      <c r="O19" s="27" t="s">
        <v>62</v>
      </c>
      <c r="P19" s="27" t="s">
        <v>63</v>
      </c>
    </row>
    <row r="20" spans="1:16" ht="12.75" customHeight="1" thickBot="1" x14ac:dyDescent="0.25">
      <c r="A20" s="3" t="str">
        <f t="shared" si="0"/>
        <v> PZP 3.720 </v>
      </c>
      <c r="B20" s="5" t="str">
        <f t="shared" si="1"/>
        <v>I</v>
      </c>
      <c r="C20" s="3">
        <f t="shared" si="2"/>
        <v>35931.099000000002</v>
      </c>
      <c r="D20" s="4" t="str">
        <f t="shared" si="3"/>
        <v>vis</v>
      </c>
      <c r="E20" s="24">
        <f>VLOOKUP(C20,Active!C$21:E$973,3,FALSE)</f>
        <v>658.99833280926362</v>
      </c>
      <c r="F20" s="5" t="s">
        <v>56</v>
      </c>
      <c r="G20" s="4" t="str">
        <f t="shared" si="4"/>
        <v>35931.099</v>
      </c>
      <c r="H20" s="3">
        <f t="shared" si="5"/>
        <v>659</v>
      </c>
      <c r="I20" s="25" t="s">
        <v>73</v>
      </c>
      <c r="J20" s="26" t="s">
        <v>74</v>
      </c>
      <c r="K20" s="25">
        <v>659</v>
      </c>
      <c r="L20" s="25" t="s">
        <v>60</v>
      </c>
      <c r="M20" s="26" t="s">
        <v>61</v>
      </c>
      <c r="N20" s="26"/>
      <c r="O20" s="27" t="s">
        <v>62</v>
      </c>
      <c r="P20" s="27" t="s">
        <v>63</v>
      </c>
    </row>
    <row r="21" spans="1:16" ht="12.75" customHeight="1" thickBot="1" x14ac:dyDescent="0.25">
      <c r="A21" s="3" t="str">
        <f t="shared" si="0"/>
        <v> AN 290.2 </v>
      </c>
      <c r="B21" s="5" t="str">
        <f t="shared" si="1"/>
        <v>I</v>
      </c>
      <c r="C21" s="3">
        <f t="shared" si="2"/>
        <v>38343.46</v>
      </c>
      <c r="D21" s="4" t="str">
        <f t="shared" si="3"/>
        <v>vis</v>
      </c>
      <c r="E21" s="24">
        <f>VLOOKUP(C21,Active!C$21:E$973,3,FALSE)</f>
        <v>1526.9020689139077</v>
      </c>
      <c r="F21" s="5" t="s">
        <v>56</v>
      </c>
      <c r="G21" s="4" t="str">
        <f t="shared" si="4"/>
        <v>38343.46</v>
      </c>
      <c r="H21" s="3">
        <f t="shared" si="5"/>
        <v>1527</v>
      </c>
      <c r="I21" s="25" t="s">
        <v>75</v>
      </c>
      <c r="J21" s="26" t="s">
        <v>76</v>
      </c>
      <c r="K21" s="25">
        <v>1527</v>
      </c>
      <c r="L21" s="25" t="s">
        <v>77</v>
      </c>
      <c r="M21" s="26" t="s">
        <v>61</v>
      </c>
      <c r="N21" s="26"/>
      <c r="O21" s="27" t="s">
        <v>78</v>
      </c>
      <c r="P21" s="27" t="s">
        <v>79</v>
      </c>
    </row>
    <row r="22" spans="1:16" ht="12.75" customHeight="1" thickBot="1" x14ac:dyDescent="0.25">
      <c r="A22" s="3" t="str">
        <f t="shared" si="0"/>
        <v> BBS 119 </v>
      </c>
      <c r="B22" s="5" t="str">
        <f t="shared" si="1"/>
        <v>I</v>
      </c>
      <c r="C22" s="3">
        <f t="shared" si="2"/>
        <v>50753.455999999998</v>
      </c>
      <c r="D22" s="4" t="str">
        <f t="shared" si="3"/>
        <v>vis</v>
      </c>
      <c r="E22" s="24">
        <f>VLOOKUP(C22,Active!C$21:E$973,3,FALSE)</f>
        <v>5991.6906695602047</v>
      </c>
      <c r="F22" s="5" t="s">
        <v>56</v>
      </c>
      <c r="G22" s="4" t="str">
        <f t="shared" si="4"/>
        <v>50753.456</v>
      </c>
      <c r="H22" s="3">
        <f t="shared" si="5"/>
        <v>5992</v>
      </c>
      <c r="I22" s="25" t="s">
        <v>80</v>
      </c>
      <c r="J22" s="26" t="s">
        <v>81</v>
      </c>
      <c r="K22" s="25">
        <v>5992</v>
      </c>
      <c r="L22" s="25" t="s">
        <v>82</v>
      </c>
      <c r="M22" s="26" t="s">
        <v>83</v>
      </c>
      <c r="N22" s="26"/>
      <c r="O22" s="27" t="s">
        <v>84</v>
      </c>
      <c r="P22" s="27" t="s">
        <v>85</v>
      </c>
    </row>
    <row r="23" spans="1:16" x14ac:dyDescent="0.2">
      <c r="B23" s="5"/>
      <c r="F23" s="5"/>
    </row>
    <row r="24" spans="1:16" x14ac:dyDescent="0.2">
      <c r="B24" s="5"/>
      <c r="F24" s="5"/>
    </row>
    <row r="25" spans="1:16" x14ac:dyDescent="0.2">
      <c r="B25" s="5"/>
      <c r="F25" s="5"/>
    </row>
    <row r="26" spans="1:16" x14ac:dyDescent="0.2">
      <c r="B26" s="5"/>
      <c r="F26" s="5"/>
    </row>
    <row r="27" spans="1:16" x14ac:dyDescent="0.2">
      <c r="B27" s="5"/>
      <c r="F27" s="5"/>
    </row>
    <row r="28" spans="1:16" x14ac:dyDescent="0.2">
      <c r="B28" s="5"/>
      <c r="F28" s="5"/>
    </row>
    <row r="29" spans="1:16" x14ac:dyDescent="0.2">
      <c r="B29" s="5"/>
      <c r="F29" s="5"/>
    </row>
    <row r="30" spans="1:16" x14ac:dyDescent="0.2">
      <c r="B30" s="5"/>
      <c r="F30" s="5"/>
    </row>
    <row r="31" spans="1:16" x14ac:dyDescent="0.2">
      <c r="B31" s="5"/>
      <c r="F31" s="5"/>
    </row>
    <row r="32" spans="1:1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</sheetData>
  <phoneticPr fontId="0" type="noConversion"/>
  <hyperlinks>
    <hyperlink ref="P11" r:id="rId1" display="http://www.konkoly.hu/cgi-bin/IBVS?5960"/>
    <hyperlink ref="P12" r:id="rId2" display="http://www.konkoly.hu/cgi-bin/IBVS?5992"/>
    <hyperlink ref="P13" r:id="rId3" display="http://www.konkoly.hu/cgi-bin/IBVS?6011"/>
    <hyperlink ref="P14" r:id="rId4" display="http://www.konkoly.hu/cgi-bin/IBVS?6063"/>
    <hyperlink ref="P15" r:id="rId5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2024-03-03T04:56:19Z</dcterms:modified>
</cp:coreProperties>
</file>