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3A15DF-B821-43B8-BD44-C21C937504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32" i="2" l="1"/>
  <c r="F32" i="2"/>
  <c r="E31" i="2"/>
  <c r="F31" i="2"/>
  <c r="Q27" i="2"/>
  <c r="Q29" i="2"/>
  <c r="Q32" i="2"/>
  <c r="G21" i="3"/>
  <c r="C21" i="3"/>
  <c r="G20" i="3"/>
  <c r="C20" i="3"/>
  <c r="G19" i="3"/>
  <c r="C19" i="3"/>
  <c r="G24" i="3"/>
  <c r="C24" i="3"/>
  <c r="E24" i="3"/>
  <c r="G18" i="3"/>
  <c r="C18" i="3"/>
  <c r="E18" i="3"/>
  <c r="G23" i="3"/>
  <c r="C23" i="3"/>
  <c r="G17" i="3"/>
  <c r="C17" i="3"/>
  <c r="G22" i="3"/>
  <c r="C22" i="3"/>
  <c r="E22" i="3"/>
  <c r="G16" i="3"/>
  <c r="C16" i="3"/>
  <c r="G15" i="3"/>
  <c r="C15" i="3"/>
  <c r="G14" i="3"/>
  <c r="C14" i="3"/>
  <c r="G13" i="3"/>
  <c r="C13" i="3"/>
  <c r="G12" i="3"/>
  <c r="C12" i="3"/>
  <c r="G11" i="3"/>
  <c r="C11" i="3"/>
  <c r="E11" i="3"/>
  <c r="H21" i="3"/>
  <c r="D21" i="3"/>
  <c r="B21" i="3"/>
  <c r="A21" i="3"/>
  <c r="H20" i="3"/>
  <c r="D20" i="3"/>
  <c r="B20" i="3"/>
  <c r="A20" i="3"/>
  <c r="H19" i="3"/>
  <c r="D19" i="3"/>
  <c r="B19" i="3"/>
  <c r="A19" i="3"/>
  <c r="H24" i="3"/>
  <c r="D24" i="3"/>
  <c r="B24" i="3"/>
  <c r="A24" i="3"/>
  <c r="H18" i="3"/>
  <c r="D18" i="3"/>
  <c r="B18" i="3"/>
  <c r="A18" i="3"/>
  <c r="H23" i="3"/>
  <c r="D23" i="3"/>
  <c r="B23" i="3"/>
  <c r="A23" i="3"/>
  <c r="H17" i="3"/>
  <c r="D17" i="3"/>
  <c r="B17" i="3"/>
  <c r="A17" i="3"/>
  <c r="H22" i="3"/>
  <c r="D22" i="3"/>
  <c r="B22" i="3"/>
  <c r="A22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F11" i="2"/>
  <c r="Q34" i="2"/>
  <c r="Q35" i="2"/>
  <c r="Q26" i="2"/>
  <c r="Q33" i="2"/>
  <c r="Q31" i="2"/>
  <c r="Q30" i="2"/>
  <c r="G11" i="2"/>
  <c r="E14" i="2"/>
  <c r="E15" i="2" s="1"/>
  <c r="F11" i="1"/>
  <c r="G11" i="1"/>
  <c r="E15" i="1"/>
  <c r="C21" i="2"/>
  <c r="C7" i="2"/>
  <c r="E27" i="2"/>
  <c r="F27" i="2"/>
  <c r="Q22" i="2"/>
  <c r="Q23" i="2"/>
  <c r="Q24" i="2"/>
  <c r="Q25" i="2"/>
  <c r="Q28" i="2"/>
  <c r="Q26" i="1"/>
  <c r="E25" i="1"/>
  <c r="F25" i="1"/>
  <c r="Q25" i="1"/>
  <c r="Q22" i="1"/>
  <c r="Q23" i="1"/>
  <c r="Q24" i="1"/>
  <c r="C21" i="1"/>
  <c r="Q21" i="1"/>
  <c r="C7" i="1"/>
  <c r="C8" i="1"/>
  <c r="E24" i="1"/>
  <c r="F24" i="1"/>
  <c r="G24" i="1"/>
  <c r="I24" i="1"/>
  <c r="G25" i="1"/>
  <c r="I25" i="1"/>
  <c r="E16" i="3"/>
  <c r="E23" i="3"/>
  <c r="G21" i="1"/>
  <c r="H21" i="1"/>
  <c r="E23" i="1"/>
  <c r="F23" i="1"/>
  <c r="G23" i="1"/>
  <c r="I23" i="1"/>
  <c r="E21" i="2"/>
  <c r="F21" i="2"/>
  <c r="G21" i="2"/>
  <c r="H21" i="2"/>
  <c r="E26" i="2"/>
  <c r="F26" i="2"/>
  <c r="G26" i="1"/>
  <c r="I26" i="1"/>
  <c r="C17" i="2"/>
  <c r="E34" i="2"/>
  <c r="F34" i="2"/>
  <c r="G34" i="2"/>
  <c r="I34" i="2"/>
  <c r="G25" i="2"/>
  <c r="I25" i="2"/>
  <c r="E23" i="2"/>
  <c r="F23" i="2"/>
  <c r="G23" i="2"/>
  <c r="I23" i="2"/>
  <c r="E21" i="1"/>
  <c r="F21" i="1"/>
  <c r="Q21" i="2"/>
  <c r="G33" i="2"/>
  <c r="I33" i="2"/>
  <c r="E30" i="2"/>
  <c r="F30" i="2"/>
  <c r="G30" i="2"/>
  <c r="I30" i="2"/>
  <c r="E29" i="2"/>
  <c r="F29" i="2"/>
  <c r="G29" i="2"/>
  <c r="J29" i="2"/>
  <c r="E25" i="2"/>
  <c r="F25" i="2"/>
  <c r="E26" i="1"/>
  <c r="F26" i="1"/>
  <c r="E22" i="1"/>
  <c r="F22" i="1"/>
  <c r="G22" i="1"/>
  <c r="E33" i="2"/>
  <c r="F33" i="2"/>
  <c r="E22" i="2"/>
  <c r="F22" i="2"/>
  <c r="G22" i="2"/>
  <c r="G27" i="2"/>
  <c r="J27" i="2"/>
  <c r="C17" i="1"/>
  <c r="G31" i="2"/>
  <c r="I31" i="2"/>
  <c r="E28" i="2"/>
  <c r="F28" i="2"/>
  <c r="G28" i="2"/>
  <c r="I28" i="2"/>
  <c r="G32" i="2"/>
  <c r="J32" i="2"/>
  <c r="E35" i="2"/>
  <c r="F35" i="2"/>
  <c r="G35" i="2"/>
  <c r="I35" i="2"/>
  <c r="G26" i="2"/>
  <c r="I26" i="2"/>
  <c r="E24" i="2"/>
  <c r="F24" i="2"/>
  <c r="G24" i="2"/>
  <c r="I24" i="2"/>
  <c r="I22" i="2"/>
  <c r="I22" i="1"/>
  <c r="E13" i="3"/>
  <c r="E14" i="3"/>
  <c r="E12" i="3"/>
  <c r="E21" i="3"/>
  <c r="E17" i="3"/>
  <c r="E19" i="3"/>
  <c r="E20" i="3"/>
  <c r="E15" i="3"/>
  <c r="C11" i="1"/>
  <c r="C11" i="2"/>
  <c r="C12" i="2"/>
  <c r="C12" i="1"/>
  <c r="C16" i="1" l="1"/>
  <c r="D18" i="1" s="1"/>
  <c r="O26" i="1"/>
  <c r="R26" i="1" s="1"/>
  <c r="O22" i="1"/>
  <c r="R22" i="1" s="1"/>
  <c r="O24" i="1"/>
  <c r="R24" i="1" s="1"/>
  <c r="O21" i="1"/>
  <c r="O25" i="1"/>
  <c r="R25" i="1" s="1"/>
  <c r="C15" i="1"/>
  <c r="O23" i="1"/>
  <c r="R23" i="1" s="1"/>
  <c r="C16" i="2"/>
  <c r="D18" i="2" s="1"/>
  <c r="O21" i="2"/>
  <c r="O34" i="2"/>
  <c r="R34" i="2" s="1"/>
  <c r="C15" i="2"/>
  <c r="O23" i="2"/>
  <c r="R23" i="2" s="1"/>
  <c r="O24" i="2"/>
  <c r="R24" i="2" s="1"/>
  <c r="O33" i="2"/>
  <c r="R33" i="2" s="1"/>
  <c r="O31" i="2"/>
  <c r="R31" i="2" s="1"/>
  <c r="O25" i="2"/>
  <c r="R25" i="2" s="1"/>
  <c r="O26" i="2"/>
  <c r="R26" i="2" s="1"/>
  <c r="O28" i="2"/>
  <c r="R28" i="2" s="1"/>
  <c r="O22" i="2"/>
  <c r="R22" i="2" s="1"/>
  <c r="O27" i="2"/>
  <c r="R27" i="2" s="1"/>
  <c r="O35" i="2"/>
  <c r="R35" i="2" s="1"/>
  <c r="O30" i="2"/>
  <c r="R30" i="2" s="1"/>
  <c r="O32" i="2"/>
  <c r="R32" i="2" s="1"/>
  <c r="O29" i="2"/>
  <c r="R29" i="2" s="1"/>
  <c r="C18" i="2" l="1"/>
  <c r="E16" i="2"/>
  <c r="E17" i="2" s="1"/>
  <c r="C18" i="1"/>
  <c r="E16" i="1"/>
  <c r="E17" i="1" s="1"/>
  <c r="R19" i="1"/>
</calcChain>
</file>

<file path=xl/sharedStrings.xml><?xml version="1.0" encoding="utf-8"?>
<sst xmlns="http://schemas.openxmlformats.org/spreadsheetml/2006/main" count="248" uniqueCount="136">
  <si>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</si>
  <si>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</si>
  <si>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</si>
  <si>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</si>
  <si>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</si>
  <si>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</si>
  <si>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</si>
  <si>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</si>
  <si>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</si>
  <si>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</si>
  <si>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</si>
  <si>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</si>
  <si>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</si>
  <si>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</si>
  <si>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</si>
  <si>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</si>
  <si>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</si>
  <si>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</si>
  <si>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</si>
  <si>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</si>
  <si>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</si>
  <si>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</si>
  <si>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</si>
  <si>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</si>
  <si>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</si>
  <si>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</si>
  <si>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</si>
  <si>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</si>
  <si>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</si>
  <si>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</si>
  <si>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5583</t>
  </si>
  <si>
    <t>II</t>
  </si>
  <si>
    <t>IBVS 5643</t>
  </si>
  <si>
    <t>IBVS</t>
  </si>
  <si>
    <t>EW</t>
  </si>
  <si>
    <t># of data points:</t>
  </si>
  <si>
    <t>QT Per / GSC 03314-01196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</si>
  <si>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</si>
  <si>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</si>
  <si>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</si>
  <si>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</si>
  <si>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</si>
  <si>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</si>
  <si>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</si>
  <si>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5920</t>
  </si>
  <si>
    <t>I</t>
  </si>
  <si>
    <t>Start of linear fit &gt;&gt;&gt;&gt;&gt;&gt;&gt;&gt;&gt;&gt;&gt;&gt;&gt;&gt;&gt;&gt;&gt;&gt;&gt;&gt;&gt;</t>
  </si>
  <si>
    <t>From ToMcat 2010-12-15</t>
  </si>
  <si>
    <t>(Period search software)</t>
  </si>
  <si>
    <t>Add cycle</t>
  </si>
  <si>
    <t>Old Cycle</t>
  </si>
  <si>
    <t>IBVS 5960</t>
  </si>
  <si>
    <t>OEJV 0137</t>
  </si>
  <si>
    <t>IBVS 5918</t>
  </si>
  <si>
    <t>IBVS 6011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</si>
  <si>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</si>
  <si>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</si>
  <si>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</si>
  <si>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</si>
  <si>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</si>
  <si>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</si>
  <si>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</si>
  <si>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</si>
  <si>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</si>
  <si>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</si>
  <si>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</si>
  <si>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</si>
  <si>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</si>
  <si>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2451580.3774 </t>
  </si>
  <si>
    <t> 05.02.2000 21:03 </t>
  </si>
  <si>
    <t> -0.1176 </t>
  </si>
  <si>
    <t>E </t>
  </si>
  <si>
    <t>?</t>
  </si>
  <si>
    <t> R.Diethelm </t>
  </si>
  <si>
    <t> BBS 122 </t>
  </si>
  <si>
    <t>2452898.5838 </t>
  </si>
  <si>
    <t> 16.09.2003 02:00 </t>
  </si>
  <si>
    <t> 0.0448 </t>
  </si>
  <si>
    <t> M.Zejda </t>
  </si>
  <si>
    <t>IBVS 5583 </t>
  </si>
  <si>
    <t>2452913.4837 </t>
  </si>
  <si>
    <t> 30.09.2003 23:36 </t>
  </si>
  <si>
    <t> 0.0347 </t>
  </si>
  <si>
    <t>o</t>
  </si>
  <si>
    <t> F.Agerer </t>
  </si>
  <si>
    <t>BAVM 172 </t>
  </si>
  <si>
    <t>2452927.5327 </t>
  </si>
  <si>
    <t> 15.10.2003 00:47 </t>
  </si>
  <si>
    <t> 0.0257 </t>
  </si>
  <si>
    <t> Moschner&amp;Frank </t>
  </si>
  <si>
    <t>2453410.364 </t>
  </si>
  <si>
    <t> 08.02.2005 20:44 </t>
  </si>
  <si>
    <t> -0.227 </t>
  </si>
  <si>
    <t> R. Diethelm </t>
  </si>
  <si>
    <t>IBVS 5653 </t>
  </si>
  <si>
    <t>2454842.2536 </t>
  </si>
  <si>
    <t> 10.01.2009 18:05 </t>
  </si>
  <si>
    <t> -0.1234 </t>
  </si>
  <si>
    <t>C </t>
  </si>
  <si>
    <t> W.Moschner &amp; P.Frank </t>
  </si>
  <si>
    <t>BAVM 209 </t>
  </si>
  <si>
    <t>2455058.5473 </t>
  </si>
  <si>
    <t> 15.08.2009 01:08 </t>
  </si>
  <si>
    <t> -0.2377 </t>
  </si>
  <si>
    <t> Moschner &amp; Frank </t>
  </si>
  <si>
    <t>BAVM 212 </t>
  </si>
  <si>
    <t>2455119.8568 </t>
  </si>
  <si>
    <t> 15.10.2009 08:33 </t>
  </si>
  <si>
    <t> -0.2722 </t>
  </si>
  <si>
    <t>IBVS 5920 </t>
  </si>
  <si>
    <t>2455231.4133 </t>
  </si>
  <si>
    <t> 03.02.2010 21:55 </t>
  </si>
  <si>
    <t> -0.3277 </t>
  </si>
  <si>
    <t> J.Trnka </t>
  </si>
  <si>
    <t>OEJV 0137 </t>
  </si>
  <si>
    <t>2455480.9170 </t>
  </si>
  <si>
    <t> 11.10.2010 10:00 </t>
  </si>
  <si>
    <t> -0.4600 </t>
  </si>
  <si>
    <t>IBVS 5960 </t>
  </si>
  <si>
    <t>2455807.4869 </t>
  </si>
  <si>
    <t> 02.09.2011 23:41 </t>
  </si>
  <si>
    <t> -0.6321 </t>
  </si>
  <si>
    <t>BAVM 225 </t>
  </si>
  <si>
    <t>2455853.8928 </t>
  </si>
  <si>
    <t> 19.10.2011 09:25 </t>
  </si>
  <si>
    <t> -0.2342 </t>
  </si>
  <si>
    <t>IBVS 6011 </t>
  </si>
  <si>
    <t>2456174.50805 </t>
  </si>
  <si>
    <t> 04.09.2012 00:11 </t>
  </si>
  <si>
    <t> -0.39695 </t>
  </si>
  <si>
    <t>OEJV 0160 </t>
  </si>
  <si>
    <t>2456226.8816 </t>
  </si>
  <si>
    <t> 26.10.2012 09:09 </t>
  </si>
  <si>
    <t> -0.4214 </t>
  </si>
  <si>
    <t>IBVS 6042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</si>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</sst>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2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0" fillId="3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Per - O-C Diagr.</a:t>
            </a:r>
          </a:p>
        </c:rich>
      </c:tx>
      <c:layout>
        <c:manualLayout>
          <c:xMode val="edge"/>
          <c:yMode val="edge"/>
          <c:x val="0.3812604361449972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7-4771-996F-C6C5CC0A1A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Active!$F$21:$F$52</c:f>
              <c:numCache>
                <c:formatCode>General</c:formatCode>
                <c:ptCount val="32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Active!$I$21:$I$52</c:f>
              <c:numCache>
                <c:formatCode>General</c:formatCode>
                <c:ptCount val="32"/>
                <c:pt idx="1">
                  <c:v>0.10079999999288702</c:v>
                </c:pt>
                <c:pt idx="2">
                  <c:v>9.9449999994249083E-2</c:v>
                </c:pt>
                <c:pt idx="3">
                  <c:v>9.870000000228174E-2</c:v>
                </c:pt>
                <c:pt idx="4">
                  <c:v>0.1294999999954598</c:v>
                </c:pt>
                <c:pt idx="5">
                  <c:v>0.22184999999444699</c:v>
                </c:pt>
                <c:pt idx="7">
                  <c:v>0.2360499999995227</c:v>
                </c:pt>
                <c:pt idx="9">
                  <c:v>0.24610000000393484</c:v>
                </c:pt>
                <c:pt idx="10">
                  <c:v>0.26024999999935972</c:v>
                </c:pt>
                <c:pt idx="12">
                  <c:v>0.27904999999736901</c:v>
                </c:pt>
                <c:pt idx="13">
                  <c:v>0.3045499999934691</c:v>
                </c:pt>
                <c:pt idx="14">
                  <c:v>0.31085000000166474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7-4771-996F-C6C5CC0A1A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0.2345500000010361</c:v>
                </c:pt>
                <c:pt idx="8">
                  <c:v>0.24605000000155997</c:v>
                </c:pt>
                <c:pt idx="11">
                  <c:v>0.27990000000136206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77-4771-996F-C6C5CC0A1A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77-4771-996F-C6C5CC0A1A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77-4771-996F-C6C5CC0A1A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77-4771-996F-C6C5CC0A1A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77-4771-996F-C6C5CC0A1A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-1.6374645784253927</c:v>
                </c:pt>
                <c:pt idx="1">
                  <c:v>9.8481178542923375E-2</c:v>
                </c:pt>
                <c:pt idx="2">
                  <c:v>9.9416263828165485E-2</c:v>
                </c:pt>
                <c:pt idx="3">
                  <c:v>0.10029791566853663</c:v>
                </c:pt>
                <c:pt idx="4">
                  <c:v>0.1305946789103809</c:v>
                </c:pt>
                <c:pt idx="5">
                  <c:v>0.22044301646092945</c:v>
                </c:pt>
                <c:pt idx="6">
                  <c:v>0.2340151114581579</c:v>
                </c:pt>
                <c:pt idx="7">
                  <c:v>0.23786231948886827</c:v>
                </c:pt>
                <c:pt idx="8">
                  <c:v>0.24486210076696624</c:v>
                </c:pt>
                <c:pt idx="9">
                  <c:v>0.24486210076696624</c:v>
                </c:pt>
                <c:pt idx="10">
                  <c:v>0.26051810011416254</c:v>
                </c:pt>
                <c:pt idx="11">
                  <c:v>0.28100982622218251</c:v>
                </c:pt>
                <c:pt idx="12">
                  <c:v>0.28392194896765077</c:v>
                </c:pt>
                <c:pt idx="13">
                  <c:v>0.30403964096157376</c:v>
                </c:pt>
                <c:pt idx="14">
                  <c:v>0.307325797821139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77-4771-996F-C6C5CC0A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296392"/>
        <c:axId val="1"/>
      </c:scatterChart>
      <c:valAx>
        <c:axId val="777296392"/>
        <c:scaling>
          <c:orientation val="minMax"/>
          <c:max val="38000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29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75600272188196"/>
          <c:w val="0.7463656138297737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Per - O-C Diagr.</a:t>
            </a:r>
          </a:p>
        </c:rich>
      </c:tx>
      <c:layout>
        <c:manualLayout>
          <c:xMode val="edge"/>
          <c:yMode val="edge"/>
          <c:x val="0.3806451612903225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769252958613219"/>
          <c:w val="0.819354838709677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7-4BB3-8A81-A06CCFE857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Active!$F$21:$F$52</c:f>
              <c:numCache>
                <c:formatCode>General</c:formatCode>
                <c:ptCount val="32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Active!$I$21:$I$52</c:f>
              <c:numCache>
                <c:formatCode>General</c:formatCode>
                <c:ptCount val="32"/>
                <c:pt idx="1">
                  <c:v>0.10079999999288702</c:v>
                </c:pt>
                <c:pt idx="2">
                  <c:v>9.9449999994249083E-2</c:v>
                </c:pt>
                <c:pt idx="3">
                  <c:v>9.870000000228174E-2</c:v>
                </c:pt>
                <c:pt idx="4">
                  <c:v>0.1294999999954598</c:v>
                </c:pt>
                <c:pt idx="5">
                  <c:v>0.22184999999444699</c:v>
                </c:pt>
                <c:pt idx="7">
                  <c:v>0.2360499999995227</c:v>
                </c:pt>
                <c:pt idx="9">
                  <c:v>0.24610000000393484</c:v>
                </c:pt>
                <c:pt idx="10">
                  <c:v>0.26024999999935972</c:v>
                </c:pt>
                <c:pt idx="12">
                  <c:v>0.27904999999736901</c:v>
                </c:pt>
                <c:pt idx="13">
                  <c:v>0.3045499999934691</c:v>
                </c:pt>
                <c:pt idx="14">
                  <c:v>0.31085000000166474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17-4BB3-8A81-A06CCFE857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0.2345500000010361</c:v>
                </c:pt>
                <c:pt idx="8">
                  <c:v>0.24605000000155997</c:v>
                </c:pt>
                <c:pt idx="11">
                  <c:v>0.27990000000136206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17-4BB3-8A81-A06CCFE857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17-4BB3-8A81-A06CCFE857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17-4BB3-8A81-A06CCFE857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17-4BB3-8A81-A06CCFE857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7">
                    <c:v>5.9999999999999995E-4</c:v>
                  </c:pt>
                  <c:pt idx="9">
                    <c:v>1E-4</c:v>
                  </c:pt>
                  <c:pt idx="10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17-4BB3-8A81-A06CCFE857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32488</c:v>
                </c:pt>
                <c:pt idx="2">
                  <c:v>32505.5</c:v>
                </c:pt>
                <c:pt idx="3">
                  <c:v>32522</c:v>
                </c:pt>
                <c:pt idx="4">
                  <c:v>33089</c:v>
                </c:pt>
                <c:pt idx="5">
                  <c:v>34770.5</c:v>
                </c:pt>
                <c:pt idx="6">
                  <c:v>35024.5</c:v>
                </c:pt>
                <c:pt idx="7">
                  <c:v>35096.5</c:v>
                </c:pt>
                <c:pt idx="8">
                  <c:v>35227.5</c:v>
                </c:pt>
                <c:pt idx="9">
                  <c:v>35227.5</c:v>
                </c:pt>
                <c:pt idx="10">
                  <c:v>35520.5</c:v>
                </c:pt>
                <c:pt idx="11">
                  <c:v>35904</c:v>
                </c:pt>
                <c:pt idx="12">
                  <c:v>35958.5</c:v>
                </c:pt>
                <c:pt idx="13">
                  <c:v>36335</c:v>
                </c:pt>
                <c:pt idx="14">
                  <c:v>36396.5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-1.6374645784253927</c:v>
                </c:pt>
                <c:pt idx="1">
                  <c:v>9.8481178542923375E-2</c:v>
                </c:pt>
                <c:pt idx="2">
                  <c:v>9.9416263828165485E-2</c:v>
                </c:pt>
                <c:pt idx="3">
                  <c:v>0.10029791566853663</c:v>
                </c:pt>
                <c:pt idx="4">
                  <c:v>0.1305946789103809</c:v>
                </c:pt>
                <c:pt idx="5">
                  <c:v>0.22044301646092945</c:v>
                </c:pt>
                <c:pt idx="6">
                  <c:v>0.2340151114581579</c:v>
                </c:pt>
                <c:pt idx="7">
                  <c:v>0.23786231948886827</c:v>
                </c:pt>
                <c:pt idx="8">
                  <c:v>0.24486210076696624</c:v>
                </c:pt>
                <c:pt idx="9">
                  <c:v>0.24486210076696624</c:v>
                </c:pt>
                <c:pt idx="10">
                  <c:v>0.26051810011416254</c:v>
                </c:pt>
                <c:pt idx="11">
                  <c:v>0.28100982622218251</c:v>
                </c:pt>
                <c:pt idx="12">
                  <c:v>0.28392194896765077</c:v>
                </c:pt>
                <c:pt idx="13">
                  <c:v>0.30403964096157376</c:v>
                </c:pt>
                <c:pt idx="14">
                  <c:v>0.307325797821139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17-4BB3-8A81-A06CCFE85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995328"/>
        <c:axId val="1"/>
      </c:scatterChart>
      <c:valAx>
        <c:axId val="783995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99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Per - O-C Diagr.</a:t>
            </a:r>
          </a:p>
        </c:rich>
      </c:tx>
      <c:layout>
        <c:manualLayout>
          <c:xMode val="edge"/>
          <c:yMode val="edge"/>
          <c:x val="0.381260436144997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90636509425255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1-414B-BB80-28F85E865C7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4.4799999996030238E-2</c:v>
                </c:pt>
                <c:pt idx="2">
                  <c:v>3.4699999996519182E-2</c:v>
                </c:pt>
                <c:pt idx="3">
                  <c:v>2.5700000005599577E-2</c:v>
                </c:pt>
                <c:pt idx="4">
                  <c:v>0.19900000000052387</c:v>
                </c:pt>
                <c:pt idx="5">
                  <c:v>0.15380000000004657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1-414B-BB80-28F85E865C7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1-414B-BB80-28F85E865C7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1-414B-BB80-28F85E865C7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1-414B-BB80-28F85E865C7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1-414B-BB80-28F85E865C7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3.0000000000000001E-3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1-414B-BB80-28F85E865C7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32469</c:v>
                </c:pt>
                <c:pt idx="2">
                  <c:v>32486.5</c:v>
                </c:pt>
                <c:pt idx="3">
                  <c:v>32503</c:v>
                </c:pt>
                <c:pt idx="4">
                  <c:v>33069.5</c:v>
                </c:pt>
                <c:pt idx="5">
                  <c:v>35076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-1.3782400807452959</c:v>
                </c:pt>
                <c:pt idx="1">
                  <c:v>6.2674316905446004E-2</c:v>
                </c:pt>
                <c:pt idx="2">
                  <c:v>6.3450934662657055E-2</c:v>
                </c:pt>
                <c:pt idx="3">
                  <c:v>6.4183174262313347E-2</c:v>
                </c:pt>
                <c:pt idx="4">
                  <c:v>8.9323400517176355E-2</c:v>
                </c:pt>
                <c:pt idx="5">
                  <c:v>0.17836817365112601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A1-414B-BB80-28F85E86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903208"/>
        <c:axId val="1"/>
      </c:scatterChart>
      <c:valAx>
        <c:axId val="59190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90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70614699010764"/>
          <c:y val="0.91925596256989606"/>
          <c:w val="0.9014546364256972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AFD879C-BC96-17BF-6697-43994214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FE482CF-1908-497F-A860-633CA188F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051AA7-B67A-9CE3-BA66-25C16ADD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5920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konkoly.hu/cgi-bin/IBVS?59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48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s="11" customFormat="1" ht="12.95" customHeight="1" x14ac:dyDescent="0.2">
      <c r="A2" s="11" t="s">
        <v>25</v>
      </c>
      <c r="B2" s="11" t="s">
        <v>34</v>
      </c>
    </row>
    <row r="3" spans="1:7" s="11" customFormat="1" ht="12.95" customHeight="1" x14ac:dyDescent="0.2"/>
    <row r="4" spans="1:7" s="11" customFormat="1" ht="12.95" customHeight="1" x14ac:dyDescent="0.2">
      <c r="A4" s="67" t="s">
        <v>0</v>
      </c>
      <c r="C4" s="68">
        <v>25234.951000000001</v>
      </c>
      <c r="D4" s="69">
        <v>0.85199999999999998</v>
      </c>
    </row>
    <row r="5" spans="1:7" s="11" customFormat="1" ht="12.95" customHeight="1" x14ac:dyDescent="0.2"/>
    <row r="6" spans="1:7" s="11" customFormat="1" ht="12.95" customHeight="1" x14ac:dyDescent="0.2">
      <c r="A6" s="67" t="s">
        <v>1</v>
      </c>
    </row>
    <row r="7" spans="1:7" s="11" customFormat="1" ht="12.95" customHeight="1" x14ac:dyDescent="0.2">
      <c r="A7" s="11" t="s">
        <v>2</v>
      </c>
      <c r="C7" s="11">
        <f>+C4</f>
        <v>25234.951000000001</v>
      </c>
      <c r="D7" s="70" t="s">
        <v>48</v>
      </c>
    </row>
    <row r="8" spans="1:7" s="11" customFormat="1" ht="12.95" customHeight="1" x14ac:dyDescent="0.2">
      <c r="A8" s="11" t="s">
        <v>3</v>
      </c>
      <c r="C8" s="11">
        <v>0.85150000000000003</v>
      </c>
      <c r="D8" s="71" t="s">
        <v>47</v>
      </c>
    </row>
    <row r="9" spans="1:7" s="11" customFormat="1" ht="12.95" customHeight="1" x14ac:dyDescent="0.2">
      <c r="A9" s="72" t="s">
        <v>38</v>
      </c>
      <c r="C9" s="71">
        <v>-9.5</v>
      </c>
      <c r="D9" s="11" t="s">
        <v>39</v>
      </c>
    </row>
    <row r="10" spans="1:7" s="11" customFormat="1" ht="12.95" customHeight="1" thickBot="1" x14ac:dyDescent="0.25">
      <c r="C10" s="73" t="s">
        <v>21</v>
      </c>
      <c r="D10" s="73" t="s">
        <v>22</v>
      </c>
    </row>
    <row r="11" spans="1:7" s="11" customFormat="1" ht="12.95" customHeight="1" x14ac:dyDescent="0.2">
      <c r="A11" s="11" t="s">
        <v>16</v>
      </c>
      <c r="C11" s="74">
        <f ca="1">INTERCEPT(INDIRECT($G$11):G992,INDIRECT($F$11):F992)</f>
        <v>-1.6374645784253927</v>
      </c>
      <c r="D11" s="75"/>
      <c r="F11" s="76" t="str">
        <f>"F"&amp;E19</f>
        <v>F22</v>
      </c>
      <c r="G11" s="74" t="str">
        <f>"G"&amp;E19</f>
        <v>G22</v>
      </c>
    </row>
    <row r="12" spans="1:7" s="11" customFormat="1" ht="12.95" customHeight="1" x14ac:dyDescent="0.2">
      <c r="A12" s="11" t="s">
        <v>17</v>
      </c>
      <c r="C12" s="74">
        <f ca="1">SLOPE(INDIRECT($G$11):G992,INDIRECT($F$11):F992)</f>
        <v>5.3433444870977474E-5</v>
      </c>
      <c r="D12" s="75"/>
    </row>
    <row r="13" spans="1:7" s="11" customFormat="1" ht="12.95" customHeight="1" x14ac:dyDescent="0.2">
      <c r="A13" s="11" t="s">
        <v>20</v>
      </c>
      <c r="C13" s="75" t="s">
        <v>14</v>
      </c>
      <c r="D13" s="77" t="s">
        <v>49</v>
      </c>
      <c r="E13" s="71">
        <v>1</v>
      </c>
    </row>
    <row r="14" spans="1:7" s="11" customFormat="1" ht="12.95" customHeight="1" x14ac:dyDescent="0.2">
      <c r="D14" s="77" t="s">
        <v>40</v>
      </c>
      <c r="E14" s="78">
        <f ca="1">NOW()+15018.5+$C$9/24</f>
        <v>60372.757646990736</v>
      </c>
    </row>
    <row r="15" spans="1:7" s="11" customFormat="1" ht="12.95" customHeight="1" x14ac:dyDescent="0.2">
      <c r="A15" s="79" t="s">
        <v>18</v>
      </c>
      <c r="C15" s="80">
        <f ca="1">(C7+C11)+(C8+C12)*INT(MAX(F21:F3533))</f>
        <v>56226.452299081095</v>
      </c>
      <c r="D15" s="77" t="s">
        <v>50</v>
      </c>
      <c r="E15" s="78">
        <f ca="1">ROUND(2*(E14-$C$7)/$C$8,0)/2+E13</f>
        <v>41267</v>
      </c>
    </row>
    <row r="16" spans="1:7" s="11" customFormat="1" ht="12.95" customHeight="1" x14ac:dyDescent="0.2">
      <c r="A16" s="67" t="s">
        <v>4</v>
      </c>
      <c r="C16" s="81">
        <f ca="1">+C8+C12</f>
        <v>0.851553433444871</v>
      </c>
      <c r="D16" s="77" t="s">
        <v>41</v>
      </c>
      <c r="E16" s="74">
        <f ca="1">ROUND(2*(E14-$C$15)/$C$16,0)/2+E13</f>
        <v>4870</v>
      </c>
    </row>
    <row r="17" spans="1:18" s="11" customFormat="1" ht="12.95" customHeight="1" thickBot="1" x14ac:dyDescent="0.25">
      <c r="A17" s="77" t="s">
        <v>35</v>
      </c>
      <c r="C17" s="11">
        <f>COUNT(C21:C2191)</f>
        <v>15</v>
      </c>
      <c r="D17" s="77" t="s">
        <v>42</v>
      </c>
      <c r="E17" s="82">
        <f ca="1">+$C$15+$C$16*E16-15018.5-$C$9/24</f>
        <v>45355.413353290955</v>
      </c>
    </row>
    <row r="18" spans="1:18" s="11" customFormat="1" ht="12.95" customHeight="1" thickTop="1" thickBot="1" x14ac:dyDescent="0.25">
      <c r="A18" s="67" t="s">
        <v>5</v>
      </c>
      <c r="C18" s="68">
        <f ca="1">+C15</f>
        <v>56226.452299081095</v>
      </c>
      <c r="D18" s="69">
        <f ca="1">+C16</f>
        <v>0.851553433444871</v>
      </c>
      <c r="E18" s="83" t="s">
        <v>43</v>
      </c>
    </row>
    <row r="19" spans="1:18" s="11" customFormat="1" ht="12.95" customHeight="1" thickTop="1" x14ac:dyDescent="0.2">
      <c r="A19" s="84" t="s">
        <v>46</v>
      </c>
      <c r="E19" s="85">
        <v>22</v>
      </c>
    </row>
    <row r="20" spans="1:18" s="11" customFormat="1" ht="12.95" customHeight="1" thickBot="1" x14ac:dyDescent="0.25">
      <c r="A20" s="73" t="s">
        <v>6</v>
      </c>
      <c r="B20" s="73" t="s">
        <v>7</v>
      </c>
      <c r="C20" s="73" t="s">
        <v>8</v>
      </c>
      <c r="D20" s="73" t="s">
        <v>13</v>
      </c>
      <c r="E20" s="73" t="s">
        <v>9</v>
      </c>
      <c r="F20" s="73" t="s">
        <v>10</v>
      </c>
      <c r="G20" s="73" t="s">
        <v>11</v>
      </c>
      <c r="H20" s="86" t="s">
        <v>12</v>
      </c>
      <c r="I20" s="86" t="s">
        <v>59</v>
      </c>
      <c r="J20" s="86" t="s">
        <v>135</v>
      </c>
      <c r="K20" s="86" t="s">
        <v>26</v>
      </c>
      <c r="L20" s="86" t="s">
        <v>27</v>
      </c>
      <c r="M20" s="86" t="s">
        <v>28</v>
      </c>
      <c r="N20" s="86" t="s">
        <v>29</v>
      </c>
      <c r="O20" s="86" t="s">
        <v>24</v>
      </c>
      <c r="P20" s="87" t="s">
        <v>23</v>
      </c>
      <c r="Q20" s="73" t="s">
        <v>15</v>
      </c>
    </row>
    <row r="21" spans="1:18" s="11" customFormat="1" ht="12.95" customHeight="1" x14ac:dyDescent="0.2">
      <c r="A21" s="11" t="s">
        <v>12</v>
      </c>
      <c r="C21" s="88">
        <f>+C4</f>
        <v>25234.951000000001</v>
      </c>
      <c r="D21" s="88" t="s">
        <v>14</v>
      </c>
      <c r="E21" s="11">
        <f t="shared" ref="E21:E35" si="0">+(C21-C$7)/C$8</f>
        <v>0</v>
      </c>
      <c r="F21" s="11">
        <f>ROUND(2*E21,0)/2</f>
        <v>0</v>
      </c>
      <c r="G21" s="11">
        <f t="shared" ref="G21:G35" si="1">+C21-(C$7+F21*C$8)</f>
        <v>0</v>
      </c>
      <c r="H21" s="11">
        <f>+G21</f>
        <v>0</v>
      </c>
      <c r="O21" s="11">
        <f t="shared" ref="O21:O35" ca="1" si="2">+C$11+C$12*$F21</f>
        <v>-1.6374645784253927</v>
      </c>
      <c r="Q21" s="89">
        <f t="shared" ref="Q21:Q35" si="3">+C21-15018.5</f>
        <v>10216.451000000001</v>
      </c>
    </row>
    <row r="22" spans="1:18" s="11" customFormat="1" ht="12.95" customHeight="1" x14ac:dyDescent="0.2">
      <c r="A22" s="9" t="s">
        <v>30</v>
      </c>
      <c r="B22" s="10" t="s">
        <v>31</v>
      </c>
      <c r="C22" s="9">
        <v>52898.5838</v>
      </c>
      <c r="D22" s="14">
        <v>3.5000000000000001E-3</v>
      </c>
      <c r="E22" s="11">
        <f t="shared" si="0"/>
        <v>32488.11837933059</v>
      </c>
      <c r="F22" s="11">
        <f>ROUND(2*E22,0)/2</f>
        <v>32488</v>
      </c>
      <c r="G22" s="11">
        <f t="shared" si="1"/>
        <v>0.10079999999288702</v>
      </c>
      <c r="I22" s="11">
        <f>+G22</f>
        <v>0.10079999999288702</v>
      </c>
      <c r="O22" s="11">
        <f t="shared" ca="1" si="2"/>
        <v>9.8481178542923375E-2</v>
      </c>
      <c r="Q22" s="89">
        <f t="shared" si="3"/>
        <v>37880.0838</v>
      </c>
      <c r="R22" s="11">
        <f t="shared" ref="R22:R35" ca="1" si="4">+(O22-G22)^2</f>
        <v>5.3769329168115165E-6</v>
      </c>
    </row>
    <row r="23" spans="1:18" s="11" customFormat="1" ht="12.95" customHeight="1" x14ac:dyDescent="0.2">
      <c r="A23" s="11" t="s">
        <v>32</v>
      </c>
      <c r="B23" s="90"/>
      <c r="C23" s="91">
        <v>52913.483699999997</v>
      </c>
      <c r="D23" s="91">
        <v>4.0000000000000002E-4</v>
      </c>
      <c r="E23" s="11">
        <f t="shared" si="0"/>
        <v>32505.616793893125</v>
      </c>
      <c r="F23" s="11">
        <f>ROUND(2*E23,0)/2</f>
        <v>32505.5</v>
      </c>
      <c r="G23" s="11">
        <f t="shared" si="1"/>
        <v>9.9449999994249083E-2</v>
      </c>
      <c r="I23" s="11">
        <f>+G23</f>
        <v>9.9449999994249083E-2</v>
      </c>
      <c r="O23" s="11">
        <f t="shared" ca="1" si="2"/>
        <v>9.9416263828165485E-2</v>
      </c>
      <c r="Q23" s="89">
        <f t="shared" si="3"/>
        <v>37894.983699999997</v>
      </c>
      <c r="R23" s="11">
        <f t="shared" ca="1" si="4"/>
        <v>1.1381289020200912E-9</v>
      </c>
    </row>
    <row r="24" spans="1:18" s="11" customFormat="1" ht="12.95" customHeight="1" x14ac:dyDescent="0.2">
      <c r="A24" s="44" t="s">
        <v>32</v>
      </c>
      <c r="B24" s="92"/>
      <c r="C24" s="93">
        <v>52927.532700000003</v>
      </c>
      <c r="D24" s="93">
        <v>2.9999999999999997E-4</v>
      </c>
      <c r="E24" s="11">
        <f t="shared" si="0"/>
        <v>32522.115913094542</v>
      </c>
      <c r="F24" s="11">
        <f>ROUND(2*E24,0)/2</f>
        <v>32522</v>
      </c>
      <c r="G24" s="11">
        <f t="shared" si="1"/>
        <v>9.870000000228174E-2</v>
      </c>
      <c r="I24" s="11">
        <f>+G24</f>
        <v>9.870000000228174E-2</v>
      </c>
      <c r="O24" s="11">
        <f t="shared" ca="1" si="2"/>
        <v>0.10029791566853663</v>
      </c>
      <c r="Q24" s="89">
        <f t="shared" si="3"/>
        <v>37909.032700000003</v>
      </c>
      <c r="R24" s="11">
        <f t="shared" ca="1" si="4"/>
        <v>2.5533344764628085E-6</v>
      </c>
    </row>
    <row r="25" spans="1:18" s="11" customFormat="1" ht="12.95" customHeight="1" x14ac:dyDescent="0.2">
      <c r="A25" s="44" t="s">
        <v>37</v>
      </c>
      <c r="B25" s="49" t="s">
        <v>31</v>
      </c>
      <c r="C25" s="48">
        <v>53410.364000000001</v>
      </c>
      <c r="D25" s="48">
        <v>3.0000000000000001E-3</v>
      </c>
      <c r="E25" s="11">
        <f t="shared" si="0"/>
        <v>33089.152084556663</v>
      </c>
      <c r="F25" s="11">
        <f>ROUND(2*E25,0)/2</f>
        <v>33089</v>
      </c>
      <c r="G25" s="11">
        <f t="shared" si="1"/>
        <v>0.1294999999954598</v>
      </c>
      <c r="I25" s="11">
        <f>+G25</f>
        <v>0.1294999999954598</v>
      </c>
      <c r="O25" s="11">
        <f t="shared" ca="1" si="2"/>
        <v>0.1305946789103809</v>
      </c>
      <c r="Q25" s="89">
        <f t="shared" si="3"/>
        <v>38391.864000000001</v>
      </c>
      <c r="R25" s="11">
        <f t="shared" ca="1" si="4"/>
        <v>1.1983219267728345E-6</v>
      </c>
    </row>
    <row r="26" spans="1:18" x14ac:dyDescent="0.2">
      <c r="A26" s="48" t="s">
        <v>53</v>
      </c>
      <c r="B26" s="49" t="s">
        <v>31</v>
      </c>
      <c r="C26" s="48">
        <v>54842.253599999996</v>
      </c>
      <c r="D26" s="48">
        <v>5.9999999999999995E-4</v>
      </c>
      <c r="E26">
        <f t="shared" si="0"/>
        <v>34770.760540223127</v>
      </c>
      <c r="F26" s="40">
        <f t="shared" ref="F26:F35" si="5">ROUND(2*E26,0)/2-0.5</f>
        <v>34770.5</v>
      </c>
      <c r="G26">
        <f t="shared" si="1"/>
        <v>0.22184999999444699</v>
      </c>
      <c r="I26">
        <f>+G26</f>
        <v>0.22184999999444699</v>
      </c>
      <c r="O26">
        <f t="shared" ca="1" si="2"/>
        <v>0.22044301646092945</v>
      </c>
      <c r="Q26" s="2">
        <f t="shared" si="3"/>
        <v>39823.753599999996</v>
      </c>
      <c r="R26">
        <f t="shared" ca="1" si="4"/>
        <v>1.9796026635894918E-6</v>
      </c>
    </row>
    <row r="27" spans="1:18" x14ac:dyDescent="0.2">
      <c r="A27" s="64" t="s">
        <v>105</v>
      </c>
      <c r="B27" s="66" t="s">
        <v>31</v>
      </c>
      <c r="C27" s="65">
        <v>55058.547299999998</v>
      </c>
      <c r="D27" s="13"/>
      <c r="E27" s="50">
        <f t="shared" si="0"/>
        <v>35024.775455079267</v>
      </c>
      <c r="F27" s="40">
        <f t="shared" si="5"/>
        <v>35024.5</v>
      </c>
      <c r="G27">
        <f t="shared" si="1"/>
        <v>0.2345500000010361</v>
      </c>
      <c r="J27">
        <f>+G27</f>
        <v>0.2345500000010361</v>
      </c>
      <c r="O27">
        <f t="shared" ca="1" si="2"/>
        <v>0.2340151114581579</v>
      </c>
      <c r="Q27" s="2">
        <f t="shared" si="3"/>
        <v>40040.047299999998</v>
      </c>
      <c r="R27">
        <f t="shared" ca="1" si="4"/>
        <v>2.8610575330236182E-7</v>
      </c>
    </row>
    <row r="28" spans="1:18" x14ac:dyDescent="0.2">
      <c r="A28" s="48" t="s">
        <v>44</v>
      </c>
      <c r="B28" s="49" t="s">
        <v>45</v>
      </c>
      <c r="C28" s="48">
        <v>55119.856800000001</v>
      </c>
      <c r="D28" s="48">
        <v>5.9999999999999995E-4</v>
      </c>
      <c r="E28">
        <f t="shared" si="0"/>
        <v>35096.777216676455</v>
      </c>
      <c r="F28" s="40">
        <f t="shared" si="5"/>
        <v>35096.5</v>
      </c>
      <c r="G28">
        <f t="shared" si="1"/>
        <v>0.2360499999995227</v>
      </c>
      <c r="I28">
        <f>+G28</f>
        <v>0.2360499999995227</v>
      </c>
      <c r="O28">
        <f t="shared" ca="1" si="2"/>
        <v>0.23786231948886827</v>
      </c>
      <c r="Q28" s="2">
        <f t="shared" si="3"/>
        <v>40101.356800000001</v>
      </c>
      <c r="R28">
        <f t="shared" ca="1" si="4"/>
        <v>3.2845019314617905E-6</v>
      </c>
    </row>
    <row r="29" spans="1:18" x14ac:dyDescent="0.2">
      <c r="A29" s="64" t="s">
        <v>114</v>
      </c>
      <c r="B29" s="66" t="s">
        <v>31</v>
      </c>
      <c r="C29" s="65">
        <v>55231.4133</v>
      </c>
      <c r="D29" s="13"/>
      <c r="E29" s="50">
        <f t="shared" si="0"/>
        <v>35227.788960657657</v>
      </c>
      <c r="F29" s="40">
        <f t="shared" si="5"/>
        <v>35227.5</v>
      </c>
      <c r="G29">
        <f t="shared" si="1"/>
        <v>0.24605000000155997</v>
      </c>
      <c r="J29">
        <f>+G29</f>
        <v>0.24605000000155997</v>
      </c>
      <c r="O29">
        <f t="shared" ca="1" si="2"/>
        <v>0.24486210076696624</v>
      </c>
      <c r="Q29" s="2">
        <f t="shared" si="3"/>
        <v>40212.9133</v>
      </c>
      <c r="R29">
        <f t="shared" ca="1" si="4"/>
        <v>1.4111045915483591E-6</v>
      </c>
    </row>
    <row r="30" spans="1:18" x14ac:dyDescent="0.2">
      <c r="A30" s="45" t="s">
        <v>52</v>
      </c>
      <c r="B30" s="46" t="s">
        <v>31</v>
      </c>
      <c r="C30" s="47">
        <v>55231.413350000003</v>
      </c>
      <c r="D30" s="47">
        <v>1E-4</v>
      </c>
      <c r="E30" s="50">
        <f t="shared" si="0"/>
        <v>35227.789019377567</v>
      </c>
      <c r="F30" s="40">
        <f t="shared" si="5"/>
        <v>35227.5</v>
      </c>
      <c r="G30">
        <f t="shared" si="1"/>
        <v>0.24610000000393484</v>
      </c>
      <c r="I30">
        <f>+G30</f>
        <v>0.24610000000393484</v>
      </c>
      <c r="O30">
        <f t="shared" ca="1" si="2"/>
        <v>0.24486210076696624</v>
      </c>
      <c r="Q30" s="2">
        <f t="shared" si="3"/>
        <v>40212.913350000003</v>
      </c>
      <c r="R30">
        <f t="shared" ca="1" si="4"/>
        <v>1.5323945208874376E-6</v>
      </c>
    </row>
    <row r="31" spans="1:18" x14ac:dyDescent="0.2">
      <c r="A31" s="45" t="s">
        <v>51</v>
      </c>
      <c r="B31" s="46" t="s">
        <v>45</v>
      </c>
      <c r="C31" s="47">
        <v>55480.917000000001</v>
      </c>
      <c r="D31" s="47">
        <v>4.0000000000000002E-4</v>
      </c>
      <c r="E31" s="50">
        <f t="shared" si="0"/>
        <v>35520.805637110978</v>
      </c>
      <c r="F31" s="40">
        <f t="shared" si="5"/>
        <v>35520.5</v>
      </c>
      <c r="G31">
        <f t="shared" si="1"/>
        <v>0.26024999999935972</v>
      </c>
      <c r="I31">
        <f>+G31</f>
        <v>0.26024999999935972</v>
      </c>
      <c r="O31">
        <f t="shared" ca="1" si="2"/>
        <v>0.26051810011416254</v>
      </c>
      <c r="Q31" s="2">
        <f t="shared" si="3"/>
        <v>40462.417000000001</v>
      </c>
      <c r="R31">
        <f t="shared" ca="1" si="4"/>
        <v>7.1877671557289156E-8</v>
      </c>
    </row>
    <row r="32" spans="1:18" x14ac:dyDescent="0.2">
      <c r="A32" s="64" t="s">
        <v>122</v>
      </c>
      <c r="B32" s="66" t="s">
        <v>45</v>
      </c>
      <c r="C32" s="65">
        <v>55807.486900000004</v>
      </c>
      <c r="D32" s="13"/>
      <c r="E32" s="50">
        <f t="shared" si="0"/>
        <v>35904.328714034062</v>
      </c>
      <c r="F32" s="40">
        <f t="shared" si="5"/>
        <v>35904</v>
      </c>
      <c r="G32">
        <f t="shared" si="1"/>
        <v>0.27990000000136206</v>
      </c>
      <c r="J32">
        <f>+G32</f>
        <v>0.27990000000136206</v>
      </c>
      <c r="O32">
        <f t="shared" ca="1" si="2"/>
        <v>0.28100982622218251</v>
      </c>
      <c r="Q32" s="2">
        <f t="shared" si="3"/>
        <v>40788.986900000004</v>
      </c>
      <c r="R32">
        <f t="shared" ca="1" si="4"/>
        <v>1.2317142404206099E-6</v>
      </c>
    </row>
    <row r="33" spans="1:18" x14ac:dyDescent="0.2">
      <c r="A33" s="48" t="s">
        <v>54</v>
      </c>
      <c r="B33" s="49" t="s">
        <v>45</v>
      </c>
      <c r="C33" s="48">
        <v>55853.892800000001</v>
      </c>
      <c r="D33" s="48">
        <v>2.9999999999999997E-4</v>
      </c>
      <c r="E33" s="50">
        <f t="shared" si="0"/>
        <v>35958.827715795655</v>
      </c>
      <c r="F33" s="40">
        <f t="shared" si="5"/>
        <v>35958.5</v>
      </c>
      <c r="G33">
        <f t="shared" si="1"/>
        <v>0.27904999999736901</v>
      </c>
      <c r="I33">
        <f>+G33</f>
        <v>0.27904999999736901</v>
      </c>
      <c r="O33">
        <f t="shared" ca="1" si="2"/>
        <v>0.28392194896765077</v>
      </c>
      <c r="Q33" s="2">
        <f t="shared" si="3"/>
        <v>40835.392800000001</v>
      </c>
      <c r="R33">
        <f t="shared" ca="1" si="4"/>
        <v>2.3735886769029489E-5</v>
      </c>
    </row>
    <row r="34" spans="1:18" x14ac:dyDescent="0.2">
      <c r="A34" s="41" t="s">
        <v>56</v>
      </c>
      <c r="B34" s="42" t="s">
        <v>45</v>
      </c>
      <c r="C34" s="43">
        <v>56174.508049999997</v>
      </c>
      <c r="D34" s="43">
        <v>2.0000000000000001E-4</v>
      </c>
      <c r="E34" s="50">
        <f t="shared" si="0"/>
        <v>36335.357662947732</v>
      </c>
      <c r="F34" s="40">
        <f t="shared" si="5"/>
        <v>36335</v>
      </c>
      <c r="G34">
        <f t="shared" si="1"/>
        <v>0.3045499999934691</v>
      </c>
      <c r="I34">
        <f>+G34</f>
        <v>0.3045499999934691</v>
      </c>
      <c r="O34">
        <f t="shared" ca="1" si="2"/>
        <v>0.30403964096157376</v>
      </c>
      <c r="Q34" s="2">
        <f t="shared" si="3"/>
        <v>41156.008049999997</v>
      </c>
      <c r="R34">
        <f t="shared" ca="1" si="4"/>
        <v>2.6046634143714409E-7</v>
      </c>
    </row>
    <row r="35" spans="1:18" x14ac:dyDescent="0.2">
      <c r="A35" s="45" t="s">
        <v>55</v>
      </c>
      <c r="B35" s="46" t="s">
        <v>45</v>
      </c>
      <c r="C35" s="47">
        <v>56226.881600000001</v>
      </c>
      <c r="D35" s="47">
        <v>4.0000000000000002E-4</v>
      </c>
      <c r="E35" s="50">
        <f t="shared" si="0"/>
        <v>36396.865061655903</v>
      </c>
      <c r="F35" s="40">
        <f t="shared" si="5"/>
        <v>36396.5</v>
      </c>
      <c r="G35">
        <f t="shared" si="1"/>
        <v>0.31085000000166474</v>
      </c>
      <c r="I35">
        <f>+G35</f>
        <v>0.31085000000166474</v>
      </c>
      <c r="O35">
        <f t="shared" ca="1" si="2"/>
        <v>0.307325797821139</v>
      </c>
      <c r="Q35" s="2">
        <f t="shared" si="3"/>
        <v>41208.381600000001</v>
      </c>
      <c r="R35">
        <f t="shared" ca="1" si="4"/>
        <v>1.2420001009222362E-5</v>
      </c>
    </row>
    <row r="36" spans="1:18" x14ac:dyDescent="0.2">
      <c r="C36" s="13"/>
      <c r="D36" s="13"/>
    </row>
    <row r="37" spans="1:18" x14ac:dyDescent="0.2">
      <c r="C37" s="13"/>
      <c r="D37" s="13"/>
    </row>
    <row r="38" spans="1:18" x14ac:dyDescent="0.2">
      <c r="C38" s="13"/>
      <c r="D38" s="13"/>
    </row>
    <row r="39" spans="1:18" x14ac:dyDescent="0.2">
      <c r="C39" s="13"/>
      <c r="D39" s="13"/>
    </row>
    <row r="40" spans="1:18" x14ac:dyDescent="0.2">
      <c r="C40" s="13"/>
      <c r="D40" s="13"/>
    </row>
    <row r="41" spans="1:18" x14ac:dyDescent="0.2">
      <c r="C41" s="13"/>
      <c r="D41" s="13"/>
    </row>
    <row r="42" spans="1:18" x14ac:dyDescent="0.2">
      <c r="C42" s="13"/>
      <c r="D42" s="13"/>
    </row>
    <row r="43" spans="1:18" x14ac:dyDescent="0.2">
      <c r="C43" s="13"/>
      <c r="D43" s="13"/>
    </row>
    <row r="44" spans="1:18" x14ac:dyDescent="0.2">
      <c r="C44" s="13"/>
      <c r="D44" s="13"/>
    </row>
    <row r="45" spans="1:18" x14ac:dyDescent="0.2">
      <c r="C45" s="13"/>
      <c r="D45" s="13"/>
    </row>
    <row r="46" spans="1:18" x14ac:dyDescent="0.2">
      <c r="C46" s="13"/>
      <c r="D46" s="13"/>
    </row>
    <row r="47" spans="1:18" x14ac:dyDescent="0.2">
      <c r="C47" s="13"/>
      <c r="D47" s="13"/>
    </row>
    <row r="48" spans="1:18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topLeftCell="A2" workbookViewId="0">
      <selection activeCell="A22" sqref="A22:C24"/>
    </sheetView>
  </sheetViews>
  <sheetFormatPr defaultRowHeight="12.75" x14ac:dyDescent="0.2"/>
  <cols>
    <col min="1" max="1" width="19.7109375" style="13" customWidth="1"/>
    <col min="2" max="2" width="4.42578125" style="20" customWidth="1"/>
    <col min="3" max="3" width="12.7109375" style="1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51" t="s">
        <v>57</v>
      </c>
      <c r="I1" s="52" t="s">
        <v>58</v>
      </c>
      <c r="J1" s="53" t="s">
        <v>59</v>
      </c>
    </row>
    <row r="2" spans="1:16" x14ac:dyDescent="0.2">
      <c r="I2" s="54" t="s">
        <v>60</v>
      </c>
      <c r="J2" s="55" t="s">
        <v>61</v>
      </c>
    </row>
    <row r="3" spans="1:16" x14ac:dyDescent="0.2">
      <c r="A3" s="56" t="s">
        <v>62</v>
      </c>
      <c r="I3" s="54" t="s">
        <v>63</v>
      </c>
      <c r="J3" s="55" t="s">
        <v>64</v>
      </c>
    </row>
    <row r="4" spans="1:16" x14ac:dyDescent="0.2">
      <c r="I4" s="54" t="s">
        <v>65</v>
      </c>
      <c r="J4" s="55" t="s">
        <v>64</v>
      </c>
    </row>
    <row r="5" spans="1:16" ht="13.5" thickBot="1" x14ac:dyDescent="0.25">
      <c r="I5" s="57" t="s">
        <v>66</v>
      </c>
      <c r="J5" s="58" t="s">
        <v>67</v>
      </c>
    </row>
    <row r="10" spans="1:16" ht="13.5" thickBot="1" x14ac:dyDescent="0.25"/>
    <row r="11" spans="1:16" ht="12.75" customHeight="1" thickBot="1" x14ac:dyDescent="0.25">
      <c r="A11" s="13" t="str">
        <f t="shared" ref="A11:A24" si="0">P11</f>
        <v> BBS 122 </v>
      </c>
      <c r="B11" s="22" t="str">
        <f t="shared" ref="B11:B24" si="1">IF(H11=INT(H11),"I","II")</f>
        <v>I</v>
      </c>
      <c r="C11" s="13">
        <f t="shared" ref="C11:C24" si="2">1*G11</f>
        <v>51580.377399999998</v>
      </c>
      <c r="D11" s="20" t="str">
        <f t="shared" ref="D11:D24" si="3">VLOOKUP(F11,I$1:J$5,2,FALSE)</f>
        <v>vis</v>
      </c>
      <c r="E11" s="59" t="e">
        <f>VLOOKUP(C11,Active!C$21:E$973,3,FALSE)</f>
        <v>#N/A</v>
      </c>
      <c r="F11" s="22" t="s">
        <v>66</v>
      </c>
      <c r="G11" s="20" t="str">
        <f t="shared" ref="G11:G24" si="4">MID(I11,3,LEN(I11)-3)</f>
        <v>51580.3774</v>
      </c>
      <c r="H11" s="13">
        <f t="shared" ref="H11:H24" si="5">1*K11</f>
        <v>30922</v>
      </c>
      <c r="I11" s="60" t="s">
        <v>68</v>
      </c>
      <c r="J11" s="61" t="s">
        <v>69</v>
      </c>
      <c r="K11" s="60">
        <v>30922</v>
      </c>
      <c r="L11" s="60" t="s">
        <v>70</v>
      </c>
      <c r="M11" s="61" t="s">
        <v>71</v>
      </c>
      <c r="N11" s="61" t="s">
        <v>72</v>
      </c>
      <c r="O11" s="62" t="s">
        <v>73</v>
      </c>
      <c r="P11" s="62" t="s">
        <v>74</v>
      </c>
    </row>
    <row r="12" spans="1:16" ht="12.75" customHeight="1" thickBot="1" x14ac:dyDescent="0.25">
      <c r="A12" s="13" t="str">
        <f t="shared" si="0"/>
        <v>IBVS 5583 </v>
      </c>
      <c r="B12" s="22" t="str">
        <f t="shared" si="1"/>
        <v>I</v>
      </c>
      <c r="C12" s="13">
        <f t="shared" si="2"/>
        <v>52898.5838</v>
      </c>
      <c r="D12" s="20" t="str">
        <f t="shared" si="3"/>
        <v>vis</v>
      </c>
      <c r="E12" s="59">
        <f>VLOOKUP(C12,Active!C$21:E$973,3,FALSE)</f>
        <v>32488.11837933059</v>
      </c>
      <c r="F12" s="22" t="s">
        <v>66</v>
      </c>
      <c r="G12" s="20" t="str">
        <f t="shared" si="4"/>
        <v>52898.5838</v>
      </c>
      <c r="H12" s="13">
        <f t="shared" si="5"/>
        <v>32469</v>
      </c>
      <c r="I12" s="60" t="s">
        <v>75</v>
      </c>
      <c r="J12" s="61" t="s">
        <v>76</v>
      </c>
      <c r="K12" s="60">
        <v>32469</v>
      </c>
      <c r="L12" s="60" t="s">
        <v>77</v>
      </c>
      <c r="M12" s="61" t="s">
        <v>71</v>
      </c>
      <c r="N12" s="61" t="s">
        <v>72</v>
      </c>
      <c r="O12" s="62" t="s">
        <v>78</v>
      </c>
      <c r="P12" s="63" t="s">
        <v>79</v>
      </c>
    </row>
    <row r="13" spans="1:16" ht="12.75" customHeight="1" thickBot="1" x14ac:dyDescent="0.25">
      <c r="A13" s="13" t="str">
        <f t="shared" si="0"/>
        <v>BAVM 172 </v>
      </c>
      <c r="B13" s="22" t="str">
        <f t="shared" si="1"/>
        <v>II</v>
      </c>
      <c r="C13" s="13">
        <f t="shared" si="2"/>
        <v>52913.483699999997</v>
      </c>
      <c r="D13" s="20" t="str">
        <f t="shared" si="3"/>
        <v>vis</v>
      </c>
      <c r="E13" s="59">
        <f>VLOOKUP(C13,Active!C$21:E$973,3,FALSE)</f>
        <v>32505.616793893125</v>
      </c>
      <c r="F13" s="22" t="s">
        <v>66</v>
      </c>
      <c r="G13" s="20" t="str">
        <f t="shared" si="4"/>
        <v>52913.4837</v>
      </c>
      <c r="H13" s="13">
        <f t="shared" si="5"/>
        <v>32486.5</v>
      </c>
      <c r="I13" s="60" t="s">
        <v>80</v>
      </c>
      <c r="J13" s="61" t="s">
        <v>81</v>
      </c>
      <c r="K13" s="60">
        <v>32486.5</v>
      </c>
      <c r="L13" s="60" t="s">
        <v>82</v>
      </c>
      <c r="M13" s="61" t="s">
        <v>71</v>
      </c>
      <c r="N13" s="61" t="s">
        <v>83</v>
      </c>
      <c r="O13" s="62" t="s">
        <v>84</v>
      </c>
      <c r="P13" s="63" t="s">
        <v>85</v>
      </c>
    </row>
    <row r="14" spans="1:16" ht="12.75" customHeight="1" thickBot="1" x14ac:dyDescent="0.25">
      <c r="A14" s="13" t="str">
        <f t="shared" si="0"/>
        <v>BAVM 172 </v>
      </c>
      <c r="B14" s="22" t="str">
        <f t="shared" si="1"/>
        <v>I</v>
      </c>
      <c r="C14" s="13">
        <f t="shared" si="2"/>
        <v>52927.532700000003</v>
      </c>
      <c r="D14" s="20" t="str">
        <f t="shared" si="3"/>
        <v>vis</v>
      </c>
      <c r="E14" s="59">
        <f>VLOOKUP(C14,Active!C$21:E$973,3,FALSE)</f>
        <v>32522.115913094542</v>
      </c>
      <c r="F14" s="22" t="s">
        <v>66</v>
      </c>
      <c r="G14" s="20" t="str">
        <f t="shared" si="4"/>
        <v>52927.5327</v>
      </c>
      <c r="H14" s="13">
        <f t="shared" si="5"/>
        <v>32503</v>
      </c>
      <c r="I14" s="60" t="s">
        <v>86</v>
      </c>
      <c r="J14" s="61" t="s">
        <v>87</v>
      </c>
      <c r="K14" s="60">
        <v>32503</v>
      </c>
      <c r="L14" s="60" t="s">
        <v>88</v>
      </c>
      <c r="M14" s="61" t="s">
        <v>71</v>
      </c>
      <c r="N14" s="61" t="s">
        <v>83</v>
      </c>
      <c r="O14" s="62" t="s">
        <v>89</v>
      </c>
      <c r="P14" s="63" t="s">
        <v>85</v>
      </c>
    </row>
    <row r="15" spans="1:16" ht="12.75" customHeight="1" thickBot="1" x14ac:dyDescent="0.25">
      <c r="A15" s="13" t="str">
        <f t="shared" si="0"/>
        <v>IBVS 5653 </v>
      </c>
      <c r="B15" s="22" t="str">
        <f t="shared" si="1"/>
        <v>I</v>
      </c>
      <c r="C15" s="13">
        <f t="shared" si="2"/>
        <v>53410.364000000001</v>
      </c>
      <c r="D15" s="20" t="str">
        <f t="shared" si="3"/>
        <v>vis</v>
      </c>
      <c r="E15" s="59">
        <f>VLOOKUP(C15,Active!C$21:E$973,3,FALSE)</f>
        <v>33089.152084556663</v>
      </c>
      <c r="F15" s="22" t="s">
        <v>66</v>
      </c>
      <c r="G15" s="20" t="str">
        <f t="shared" si="4"/>
        <v>53410.364</v>
      </c>
      <c r="H15" s="13">
        <f t="shared" si="5"/>
        <v>33070</v>
      </c>
      <c r="I15" s="60" t="s">
        <v>90</v>
      </c>
      <c r="J15" s="61" t="s">
        <v>91</v>
      </c>
      <c r="K15" s="60">
        <v>33070</v>
      </c>
      <c r="L15" s="60" t="s">
        <v>92</v>
      </c>
      <c r="M15" s="61" t="s">
        <v>71</v>
      </c>
      <c r="N15" s="61" t="s">
        <v>72</v>
      </c>
      <c r="O15" s="62" t="s">
        <v>93</v>
      </c>
      <c r="P15" s="63" t="s">
        <v>94</v>
      </c>
    </row>
    <row r="16" spans="1:16" ht="12.75" customHeight="1" thickBot="1" x14ac:dyDescent="0.25">
      <c r="A16" s="13" t="str">
        <f t="shared" si="0"/>
        <v>BAVM 209 </v>
      </c>
      <c r="B16" s="22" t="str">
        <f t="shared" si="1"/>
        <v>II</v>
      </c>
      <c r="C16" s="13">
        <f t="shared" si="2"/>
        <v>54842.253599999996</v>
      </c>
      <c r="D16" s="20" t="str">
        <f t="shared" si="3"/>
        <v>vis</v>
      </c>
      <c r="E16" s="59">
        <f>VLOOKUP(C16,Active!C$21:E$973,3,FALSE)</f>
        <v>34770.760540223127</v>
      </c>
      <c r="F16" s="22" t="s">
        <v>66</v>
      </c>
      <c r="G16" s="20" t="str">
        <f t="shared" si="4"/>
        <v>54842.2536</v>
      </c>
      <c r="H16" s="13">
        <f t="shared" si="5"/>
        <v>34750.5</v>
      </c>
      <c r="I16" s="60" t="s">
        <v>95</v>
      </c>
      <c r="J16" s="61" t="s">
        <v>96</v>
      </c>
      <c r="K16" s="60">
        <v>34750.5</v>
      </c>
      <c r="L16" s="60" t="s">
        <v>97</v>
      </c>
      <c r="M16" s="61" t="s">
        <v>98</v>
      </c>
      <c r="N16" s="61" t="s">
        <v>83</v>
      </c>
      <c r="O16" s="62" t="s">
        <v>99</v>
      </c>
      <c r="P16" s="63" t="s">
        <v>100</v>
      </c>
    </row>
    <row r="17" spans="1:16" ht="12.75" customHeight="1" thickBot="1" x14ac:dyDescent="0.25">
      <c r="A17" s="13" t="str">
        <f t="shared" si="0"/>
        <v>IBVS 5920 </v>
      </c>
      <c r="B17" s="22" t="str">
        <f t="shared" si="1"/>
        <v>II</v>
      </c>
      <c r="C17" s="13">
        <f t="shared" si="2"/>
        <v>55119.856800000001</v>
      </c>
      <c r="D17" s="20" t="str">
        <f t="shared" si="3"/>
        <v>vis</v>
      </c>
      <c r="E17" s="59">
        <f>VLOOKUP(C17,Active!C$21:E$973,3,FALSE)</f>
        <v>35096.777216676455</v>
      </c>
      <c r="F17" s="22" t="s">
        <v>66</v>
      </c>
      <c r="G17" s="20" t="str">
        <f t="shared" si="4"/>
        <v>55119.8568</v>
      </c>
      <c r="H17" s="13">
        <f t="shared" si="5"/>
        <v>35076.5</v>
      </c>
      <c r="I17" s="60" t="s">
        <v>106</v>
      </c>
      <c r="J17" s="61" t="s">
        <v>107</v>
      </c>
      <c r="K17" s="60">
        <v>35076.5</v>
      </c>
      <c r="L17" s="60" t="s">
        <v>108</v>
      </c>
      <c r="M17" s="61" t="s">
        <v>98</v>
      </c>
      <c r="N17" s="61" t="s">
        <v>66</v>
      </c>
      <c r="O17" s="62" t="s">
        <v>73</v>
      </c>
      <c r="P17" s="63" t="s">
        <v>109</v>
      </c>
    </row>
    <row r="18" spans="1:16" ht="12.75" customHeight="1" thickBot="1" x14ac:dyDescent="0.25">
      <c r="A18" s="13" t="str">
        <f t="shared" si="0"/>
        <v>IBVS 5960 </v>
      </c>
      <c r="B18" s="22" t="str">
        <f t="shared" si="1"/>
        <v>II</v>
      </c>
      <c r="C18" s="13">
        <f t="shared" si="2"/>
        <v>55480.917000000001</v>
      </c>
      <c r="D18" s="20" t="str">
        <f t="shared" si="3"/>
        <v>vis</v>
      </c>
      <c r="E18" s="59">
        <f>VLOOKUP(C18,Active!C$21:E$973,3,FALSE)</f>
        <v>35520.805637110978</v>
      </c>
      <c r="F18" s="22" t="s">
        <v>66</v>
      </c>
      <c r="G18" s="20" t="str">
        <f t="shared" si="4"/>
        <v>55480.9170</v>
      </c>
      <c r="H18" s="13">
        <f t="shared" si="5"/>
        <v>35500.5</v>
      </c>
      <c r="I18" s="60" t="s">
        <v>115</v>
      </c>
      <c r="J18" s="61" t="s">
        <v>116</v>
      </c>
      <c r="K18" s="60">
        <v>35500.5</v>
      </c>
      <c r="L18" s="60" t="s">
        <v>117</v>
      </c>
      <c r="M18" s="61" t="s">
        <v>98</v>
      </c>
      <c r="N18" s="61" t="s">
        <v>66</v>
      </c>
      <c r="O18" s="62" t="s">
        <v>73</v>
      </c>
      <c r="P18" s="63" t="s">
        <v>118</v>
      </c>
    </row>
    <row r="19" spans="1:16" ht="12.75" customHeight="1" thickBot="1" x14ac:dyDescent="0.25">
      <c r="A19" s="13" t="str">
        <f t="shared" si="0"/>
        <v>IBVS 6011 </v>
      </c>
      <c r="B19" s="22" t="str">
        <f t="shared" si="1"/>
        <v>I</v>
      </c>
      <c r="C19" s="13">
        <f t="shared" si="2"/>
        <v>55853.892800000001</v>
      </c>
      <c r="D19" s="20" t="str">
        <f t="shared" si="3"/>
        <v>vis</v>
      </c>
      <c r="E19" s="59">
        <f>VLOOKUP(C19,Active!C$21:E$973,3,FALSE)</f>
        <v>35958.827715795655</v>
      </c>
      <c r="F19" s="22" t="s">
        <v>66</v>
      </c>
      <c r="G19" s="20" t="str">
        <f t="shared" si="4"/>
        <v>55853.8928</v>
      </c>
      <c r="H19" s="13">
        <f t="shared" si="5"/>
        <v>35938</v>
      </c>
      <c r="I19" s="60" t="s">
        <v>123</v>
      </c>
      <c r="J19" s="61" t="s">
        <v>124</v>
      </c>
      <c r="K19" s="60">
        <v>35938</v>
      </c>
      <c r="L19" s="60" t="s">
        <v>125</v>
      </c>
      <c r="M19" s="61" t="s">
        <v>98</v>
      </c>
      <c r="N19" s="61" t="s">
        <v>66</v>
      </c>
      <c r="O19" s="62" t="s">
        <v>73</v>
      </c>
      <c r="P19" s="63" t="s">
        <v>126</v>
      </c>
    </row>
    <row r="20" spans="1:16" ht="12.75" customHeight="1" thickBot="1" x14ac:dyDescent="0.25">
      <c r="A20" s="13" t="str">
        <f t="shared" si="0"/>
        <v>OEJV 0160 </v>
      </c>
      <c r="B20" s="22" t="str">
        <f t="shared" si="1"/>
        <v>II</v>
      </c>
      <c r="C20" s="13">
        <f t="shared" si="2"/>
        <v>56174.508049999997</v>
      </c>
      <c r="D20" s="20" t="str">
        <f t="shared" si="3"/>
        <v>vis</v>
      </c>
      <c r="E20" s="59">
        <f>VLOOKUP(C20,Active!C$21:E$973,3,FALSE)</f>
        <v>36335.357662947732</v>
      </c>
      <c r="F20" s="22" t="s">
        <v>66</v>
      </c>
      <c r="G20" s="20" t="str">
        <f t="shared" si="4"/>
        <v>56174.50805</v>
      </c>
      <c r="H20" s="13">
        <f t="shared" si="5"/>
        <v>36314.5</v>
      </c>
      <c r="I20" s="60" t="s">
        <v>127</v>
      </c>
      <c r="J20" s="61" t="s">
        <v>128</v>
      </c>
      <c r="K20" s="60">
        <v>36314.5</v>
      </c>
      <c r="L20" s="60" t="s">
        <v>129</v>
      </c>
      <c r="M20" s="61" t="s">
        <v>98</v>
      </c>
      <c r="N20" s="61" t="s">
        <v>58</v>
      </c>
      <c r="O20" s="62" t="s">
        <v>113</v>
      </c>
      <c r="P20" s="63" t="s">
        <v>130</v>
      </c>
    </row>
    <row r="21" spans="1:16" ht="12.75" customHeight="1" thickBot="1" x14ac:dyDescent="0.25">
      <c r="A21" s="13" t="str">
        <f t="shared" si="0"/>
        <v>IBVS 6042 </v>
      </c>
      <c r="B21" s="22" t="str">
        <f t="shared" si="1"/>
        <v>I</v>
      </c>
      <c r="C21" s="13">
        <f t="shared" si="2"/>
        <v>56226.881600000001</v>
      </c>
      <c r="D21" s="20" t="str">
        <f t="shared" si="3"/>
        <v>vis</v>
      </c>
      <c r="E21" s="59">
        <f>VLOOKUP(C21,Active!C$21:E$973,3,FALSE)</f>
        <v>36396.865061655903</v>
      </c>
      <c r="F21" s="22" t="s">
        <v>66</v>
      </c>
      <c r="G21" s="20" t="str">
        <f t="shared" si="4"/>
        <v>56226.8816</v>
      </c>
      <c r="H21" s="13">
        <f t="shared" si="5"/>
        <v>36376</v>
      </c>
      <c r="I21" s="60" t="s">
        <v>131</v>
      </c>
      <c r="J21" s="61" t="s">
        <v>132</v>
      </c>
      <c r="K21" s="60">
        <v>36376</v>
      </c>
      <c r="L21" s="60" t="s">
        <v>133</v>
      </c>
      <c r="M21" s="61" t="s">
        <v>98</v>
      </c>
      <c r="N21" s="61" t="s">
        <v>66</v>
      </c>
      <c r="O21" s="62" t="s">
        <v>73</v>
      </c>
      <c r="P21" s="63" t="s">
        <v>134</v>
      </c>
    </row>
    <row r="22" spans="1:16" ht="12.75" customHeight="1" thickBot="1" x14ac:dyDescent="0.25">
      <c r="A22" s="13" t="str">
        <f t="shared" si="0"/>
        <v>BAVM 212 </v>
      </c>
      <c r="B22" s="22" t="str">
        <f t="shared" si="1"/>
        <v>II</v>
      </c>
      <c r="C22" s="13">
        <f t="shared" si="2"/>
        <v>55058.547299999998</v>
      </c>
      <c r="D22" s="20" t="str">
        <f t="shared" si="3"/>
        <v>vis</v>
      </c>
      <c r="E22" s="59">
        <f>VLOOKUP(C22,Active!C$21:E$973,3,FALSE)</f>
        <v>35024.775455079267</v>
      </c>
      <c r="F22" s="22" t="s">
        <v>66</v>
      </c>
      <c r="G22" s="20" t="str">
        <f t="shared" si="4"/>
        <v>55058.5473</v>
      </c>
      <c r="H22" s="13">
        <f t="shared" si="5"/>
        <v>35004.5</v>
      </c>
      <c r="I22" s="60" t="s">
        <v>101</v>
      </c>
      <c r="J22" s="61" t="s">
        <v>102</v>
      </c>
      <c r="K22" s="60">
        <v>35004.5</v>
      </c>
      <c r="L22" s="60" t="s">
        <v>103</v>
      </c>
      <c r="M22" s="61" t="s">
        <v>98</v>
      </c>
      <c r="N22" s="61" t="s">
        <v>83</v>
      </c>
      <c r="O22" s="62" t="s">
        <v>104</v>
      </c>
      <c r="P22" s="63" t="s">
        <v>105</v>
      </c>
    </row>
    <row r="23" spans="1:16" ht="12.75" customHeight="1" thickBot="1" x14ac:dyDescent="0.25">
      <c r="A23" s="13" t="str">
        <f t="shared" si="0"/>
        <v>OEJV 0137 </v>
      </c>
      <c r="B23" s="22" t="str">
        <f t="shared" si="1"/>
        <v>II</v>
      </c>
      <c r="C23" s="13">
        <f t="shared" si="2"/>
        <v>55231.4133</v>
      </c>
      <c r="D23" s="20" t="str">
        <f t="shared" si="3"/>
        <v>vis</v>
      </c>
      <c r="E23" s="59">
        <f>VLOOKUP(C23,Active!C$21:E$973,3,FALSE)</f>
        <v>35227.788960657657</v>
      </c>
      <c r="F23" s="22" t="s">
        <v>66</v>
      </c>
      <c r="G23" s="20" t="str">
        <f t="shared" si="4"/>
        <v>55231.4133</v>
      </c>
      <c r="H23" s="13">
        <f t="shared" si="5"/>
        <v>35207.5</v>
      </c>
      <c r="I23" s="60" t="s">
        <v>110</v>
      </c>
      <c r="J23" s="61" t="s">
        <v>111</v>
      </c>
      <c r="K23" s="60">
        <v>35207.5</v>
      </c>
      <c r="L23" s="60" t="s">
        <v>112</v>
      </c>
      <c r="M23" s="61" t="s">
        <v>98</v>
      </c>
      <c r="N23" s="61" t="s">
        <v>58</v>
      </c>
      <c r="O23" s="62" t="s">
        <v>113</v>
      </c>
      <c r="P23" s="63" t="s">
        <v>114</v>
      </c>
    </row>
    <row r="24" spans="1:16" ht="12.75" customHeight="1" thickBot="1" x14ac:dyDescent="0.25">
      <c r="A24" s="13" t="str">
        <f t="shared" si="0"/>
        <v>BAVM 225 </v>
      </c>
      <c r="B24" s="22" t="str">
        <f t="shared" si="1"/>
        <v>I</v>
      </c>
      <c r="C24" s="13">
        <f t="shared" si="2"/>
        <v>55807.486900000004</v>
      </c>
      <c r="D24" s="20" t="str">
        <f t="shared" si="3"/>
        <v>vis</v>
      </c>
      <c r="E24" s="59">
        <f>VLOOKUP(C24,Active!C$21:E$973,3,FALSE)</f>
        <v>35904.328714034062</v>
      </c>
      <c r="F24" s="22" t="s">
        <v>66</v>
      </c>
      <c r="G24" s="20" t="str">
        <f t="shared" si="4"/>
        <v>55807.4869</v>
      </c>
      <c r="H24" s="13">
        <f t="shared" si="5"/>
        <v>35884</v>
      </c>
      <c r="I24" s="60" t="s">
        <v>119</v>
      </c>
      <c r="J24" s="61" t="s">
        <v>120</v>
      </c>
      <c r="K24" s="60">
        <v>35884</v>
      </c>
      <c r="L24" s="60" t="s">
        <v>121</v>
      </c>
      <c r="M24" s="61" t="s">
        <v>98</v>
      </c>
      <c r="N24" s="61" t="s">
        <v>83</v>
      </c>
      <c r="O24" s="62" t="s">
        <v>99</v>
      </c>
      <c r="P24" s="63" t="s">
        <v>122</v>
      </c>
    </row>
    <row r="25" spans="1:16" x14ac:dyDescent="0.2">
      <c r="B25" s="22"/>
      <c r="F25" s="22"/>
    </row>
    <row r="26" spans="1:16" x14ac:dyDescent="0.2">
      <c r="B26" s="22"/>
      <c r="F26" s="22"/>
    </row>
    <row r="27" spans="1:16" x14ac:dyDescent="0.2">
      <c r="B27" s="22"/>
      <c r="F27" s="22"/>
    </row>
    <row r="28" spans="1:16" x14ac:dyDescent="0.2">
      <c r="B28" s="22"/>
      <c r="F28" s="22"/>
    </row>
    <row r="29" spans="1:16" x14ac:dyDescent="0.2">
      <c r="B29" s="22"/>
      <c r="F29" s="22"/>
    </row>
    <row r="30" spans="1:16" x14ac:dyDescent="0.2">
      <c r="B30" s="22"/>
      <c r="F30" s="22"/>
    </row>
    <row r="31" spans="1:16" x14ac:dyDescent="0.2">
      <c r="B31" s="22"/>
      <c r="F31" s="22"/>
    </row>
    <row r="32" spans="1:16" x14ac:dyDescent="0.2">
      <c r="B32" s="22"/>
      <c r="F32" s="22"/>
    </row>
    <row r="33" spans="2:6" x14ac:dyDescent="0.2">
      <c r="B33" s="22"/>
      <c r="F33" s="22"/>
    </row>
    <row r="34" spans="2:6" x14ac:dyDescent="0.2">
      <c r="B34" s="22"/>
      <c r="F34" s="22"/>
    </row>
    <row r="35" spans="2:6" x14ac:dyDescent="0.2">
      <c r="B35" s="22"/>
      <c r="F35" s="22"/>
    </row>
    <row r="36" spans="2:6" x14ac:dyDescent="0.2">
      <c r="B36" s="22"/>
      <c r="F36" s="22"/>
    </row>
    <row r="37" spans="2:6" x14ac:dyDescent="0.2">
      <c r="B37" s="22"/>
      <c r="F37" s="22"/>
    </row>
    <row r="38" spans="2:6" x14ac:dyDescent="0.2">
      <c r="B38" s="22"/>
      <c r="F38" s="22"/>
    </row>
    <row r="39" spans="2:6" x14ac:dyDescent="0.2">
      <c r="B39" s="22"/>
      <c r="F39" s="22"/>
    </row>
    <row r="40" spans="2:6" x14ac:dyDescent="0.2">
      <c r="B40" s="22"/>
      <c r="F40" s="22"/>
    </row>
    <row r="41" spans="2:6" x14ac:dyDescent="0.2">
      <c r="B41" s="22"/>
      <c r="F41" s="22"/>
    </row>
    <row r="42" spans="2:6" x14ac:dyDescent="0.2">
      <c r="B42" s="22"/>
      <c r="F42" s="22"/>
    </row>
    <row r="43" spans="2:6" x14ac:dyDescent="0.2">
      <c r="B43" s="22"/>
      <c r="F43" s="22"/>
    </row>
    <row r="44" spans="2:6" x14ac:dyDescent="0.2">
      <c r="B44" s="22"/>
      <c r="F44" s="22"/>
    </row>
    <row r="45" spans="2:6" x14ac:dyDescent="0.2">
      <c r="B45" s="22"/>
      <c r="F45" s="22"/>
    </row>
    <row r="46" spans="2:6" x14ac:dyDescent="0.2">
      <c r="B46" s="22"/>
      <c r="F46" s="22"/>
    </row>
    <row r="47" spans="2:6" x14ac:dyDescent="0.2">
      <c r="B47" s="22"/>
      <c r="F47" s="22"/>
    </row>
    <row r="48" spans="2:6" x14ac:dyDescent="0.2">
      <c r="B48" s="22"/>
      <c r="F48" s="22"/>
    </row>
    <row r="49" spans="2:6" x14ac:dyDescent="0.2">
      <c r="B49" s="22"/>
      <c r="F49" s="22"/>
    </row>
    <row r="50" spans="2:6" x14ac:dyDescent="0.2">
      <c r="B50" s="22"/>
      <c r="F50" s="22"/>
    </row>
    <row r="51" spans="2:6" x14ac:dyDescent="0.2">
      <c r="B51" s="22"/>
      <c r="F51" s="22"/>
    </row>
    <row r="52" spans="2:6" x14ac:dyDescent="0.2">
      <c r="B52" s="22"/>
      <c r="F52" s="22"/>
    </row>
    <row r="53" spans="2:6" x14ac:dyDescent="0.2">
      <c r="B53" s="22"/>
      <c r="F53" s="22"/>
    </row>
    <row r="54" spans="2:6" x14ac:dyDescent="0.2">
      <c r="B54" s="2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</sheetData>
  <phoneticPr fontId="7" type="noConversion"/>
  <hyperlinks>
    <hyperlink ref="P12" r:id="rId1" display="http://www.konkoly.hu/cgi-bin/IBVS?5583"/>
    <hyperlink ref="P13" r:id="rId2" display="http://www.bav-astro.de/sfs/BAVM_link.php?BAVMnr=172"/>
    <hyperlink ref="P14" r:id="rId3" display="http://www.bav-astro.de/sfs/BAVM_link.php?BAVMnr=172"/>
    <hyperlink ref="P15" r:id="rId4" display="http://www.konkoly.hu/cgi-bin/IBVS?5653"/>
    <hyperlink ref="P16" r:id="rId5" display="http://www.bav-astro.de/sfs/BAVM_link.php?BAVMnr=209"/>
    <hyperlink ref="P22" r:id="rId6" display="http://www.bav-astro.de/sfs/BAVM_link.php?BAVMnr=212"/>
    <hyperlink ref="P17" r:id="rId7" display="http://www.konkoly.hu/cgi-bin/IBVS?5920"/>
    <hyperlink ref="P23" r:id="rId8" display="http://var.astro.cz/oejv/issues/oejv0137.pdf"/>
    <hyperlink ref="P18" r:id="rId9" display="http://www.konkoly.hu/cgi-bin/IBVS?5960"/>
    <hyperlink ref="P24" r:id="rId10" display="http://www.bav-astro.de/sfs/BAVM_link.php?BAVMnr=225"/>
    <hyperlink ref="P19" r:id="rId11" display="http://www.konkoly.hu/cgi-bin/IBVS?6011"/>
    <hyperlink ref="P20" r:id="rId12" display="http://var.astro.cz/oejv/issues/oejv0160.pdf"/>
    <hyperlink ref="P21" r:id="rId13" display="http://www.konkoly.hu/cgi-bin/IBVS?6042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workbookViewId="0">
      <selection activeCell="I25" sqref="I2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25</v>
      </c>
      <c r="B2" t="s">
        <v>34</v>
      </c>
    </row>
    <row r="4" spans="1:7" x14ac:dyDescent="0.2">
      <c r="A4" s="6" t="s">
        <v>0</v>
      </c>
      <c r="C4" s="3">
        <v>25234.951000000001</v>
      </c>
      <c r="D4" s="4">
        <v>0.85199999999999998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25234.951000000001</v>
      </c>
    </row>
    <row r="8" spans="1:7" x14ac:dyDescent="0.2">
      <c r="A8" t="s">
        <v>3</v>
      </c>
      <c r="C8">
        <f>+D4</f>
        <v>0.85199999999999998</v>
      </c>
    </row>
    <row r="9" spans="1:7" x14ac:dyDescent="0.2">
      <c r="A9" s="19" t="s">
        <v>38</v>
      </c>
      <c r="B9" s="20"/>
      <c r="C9" s="21">
        <v>8</v>
      </c>
      <c r="D9" s="20" t="s">
        <v>39</v>
      </c>
      <c r="E9" s="20"/>
    </row>
    <row r="10" spans="1:7" ht="13.5" thickBot="1" x14ac:dyDescent="0.25">
      <c r="A10" s="20"/>
      <c r="B10" s="20"/>
      <c r="C10" s="5" t="s">
        <v>21</v>
      </c>
      <c r="D10" s="5" t="s">
        <v>22</v>
      </c>
      <c r="E10" s="20"/>
    </row>
    <row r="11" spans="1:7" x14ac:dyDescent="0.2">
      <c r="A11" s="20" t="s">
        <v>16</v>
      </c>
      <c r="B11" s="20"/>
      <c r="C11" s="35">
        <f ca="1">INTERCEPT(INDIRECT($G$11):G992,INDIRECT($F$11):F992)</f>
        <v>-1.3782400807452959</v>
      </c>
      <c r="D11" s="22"/>
      <c r="E11" s="20"/>
      <c r="F11" s="36" t="str">
        <f>"F"&amp;E19</f>
        <v>F22</v>
      </c>
      <c r="G11" s="37" t="str">
        <f>"G"&amp;E19</f>
        <v>G22</v>
      </c>
    </row>
    <row r="12" spans="1:7" x14ac:dyDescent="0.2">
      <c r="A12" s="20" t="s">
        <v>17</v>
      </c>
      <c r="B12" s="20"/>
      <c r="C12" s="35">
        <f ca="1">SLOPE(INDIRECT($G$11):G992,INDIRECT($F$11):F992)</f>
        <v>4.4378157554921367E-5</v>
      </c>
      <c r="D12" s="22"/>
      <c r="E12" s="20"/>
    </row>
    <row r="13" spans="1:7" x14ac:dyDescent="0.2">
      <c r="A13" s="20" t="s">
        <v>20</v>
      </c>
      <c r="B13" s="20"/>
      <c r="C13" s="22" t="s">
        <v>14</v>
      </c>
      <c r="D13" s="22"/>
      <c r="E13" s="20"/>
    </row>
    <row r="14" spans="1:7" x14ac:dyDescent="0.2">
      <c r="A14" s="20"/>
      <c r="B14" s="20"/>
      <c r="C14" s="20"/>
      <c r="D14" s="20"/>
      <c r="E14" s="20"/>
    </row>
    <row r="15" spans="1:7" x14ac:dyDescent="0.2">
      <c r="A15" s="23" t="s">
        <v>18</v>
      </c>
      <c r="B15" s="20"/>
      <c r="C15" s="24">
        <f ca="1">(C7+C11)+(C8+C12)*INT(MAX(F21:F3533))</f>
        <v>55119.88136817365</v>
      </c>
      <c r="D15" s="25" t="s">
        <v>40</v>
      </c>
      <c r="E15" s="26">
        <f ca="1">TODAY()+15018.5-B9/24</f>
        <v>60372.5</v>
      </c>
    </row>
    <row r="16" spans="1:7" x14ac:dyDescent="0.2">
      <c r="A16" s="27" t="s">
        <v>4</v>
      </c>
      <c r="B16" s="20"/>
      <c r="C16" s="28">
        <f ca="1">+C8+C12</f>
        <v>0.85204437815755485</v>
      </c>
      <c r="D16" s="25" t="s">
        <v>41</v>
      </c>
      <c r="E16" s="26">
        <f ca="1">ROUND(2*(E15-C15)/C16,0)/2+1</f>
        <v>6165.5</v>
      </c>
    </row>
    <row r="17" spans="1:18" ht="13.5" thickBot="1" x14ac:dyDescent="0.25">
      <c r="A17" s="25" t="s">
        <v>35</v>
      </c>
      <c r="B17" s="20"/>
      <c r="C17" s="20">
        <f>COUNT(C21:C2191)</f>
        <v>6</v>
      </c>
      <c r="D17" s="25" t="s">
        <v>42</v>
      </c>
      <c r="E17" s="29">
        <f ca="1">+C15+C16*E16-15018.5-C9/24</f>
        <v>45354.327648370716</v>
      </c>
    </row>
    <row r="18" spans="1:18" x14ac:dyDescent="0.2">
      <c r="A18" s="27" t="s">
        <v>5</v>
      </c>
      <c r="B18" s="20"/>
      <c r="C18" s="30">
        <f ca="1">+C15</f>
        <v>55119.88136817365</v>
      </c>
      <c r="D18" s="31">
        <f ca="1">+C16</f>
        <v>0.85204437815755485</v>
      </c>
      <c r="E18" s="32" t="s">
        <v>43</v>
      </c>
    </row>
    <row r="19" spans="1:18" ht="13.5" thickTop="1" x14ac:dyDescent="0.2">
      <c r="A19" s="38" t="s">
        <v>46</v>
      </c>
      <c r="E19" s="39">
        <v>22</v>
      </c>
      <c r="R19">
        <f ca="1">SUM(R22:R37)</f>
        <v>1.525961378080757E-2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33</v>
      </c>
      <c r="J20" s="8" t="s">
        <v>19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15</v>
      </c>
    </row>
    <row r="21" spans="1:18" x14ac:dyDescent="0.2">
      <c r="A21" t="s">
        <v>12</v>
      </c>
      <c r="C21" s="13">
        <f>+C4</f>
        <v>25234.951000000001</v>
      </c>
      <c r="D21" s="13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-1.3782400807452959</v>
      </c>
      <c r="Q21" s="2">
        <f t="shared" ref="Q21:Q26" si="4">+C21-15018.5</f>
        <v>10216.451000000001</v>
      </c>
    </row>
    <row r="22" spans="1:18" x14ac:dyDescent="0.2">
      <c r="A22" s="9" t="s">
        <v>30</v>
      </c>
      <c r="B22" s="10" t="s">
        <v>31</v>
      </c>
      <c r="C22" s="9">
        <v>52898.5838</v>
      </c>
      <c r="D22" s="14">
        <v>3.5000000000000001E-3</v>
      </c>
      <c r="E22">
        <f t="shared" si="0"/>
        <v>32469.052582159624</v>
      </c>
      <c r="F22">
        <f t="shared" si="1"/>
        <v>32469</v>
      </c>
      <c r="G22">
        <f t="shared" si="2"/>
        <v>4.4799999996030238E-2</v>
      </c>
      <c r="I22">
        <f>+G22</f>
        <v>4.4799999996030238E-2</v>
      </c>
      <c r="O22">
        <f t="shared" ca="1" si="3"/>
        <v>6.2674316905446004E-2</v>
      </c>
      <c r="Q22" s="2">
        <f t="shared" si="4"/>
        <v>37880.0838</v>
      </c>
      <c r="R22">
        <f ca="1">+(O22-G22)^2</f>
        <v>3.1949120497822638E-4</v>
      </c>
    </row>
    <row r="23" spans="1:18" x14ac:dyDescent="0.2">
      <c r="A23" s="11" t="s">
        <v>32</v>
      </c>
      <c r="B23" s="12"/>
      <c r="C23" s="15">
        <v>52913.483699999997</v>
      </c>
      <c r="D23" s="15">
        <v>4.0000000000000002E-4</v>
      </c>
      <c r="E23">
        <f t="shared" si="0"/>
        <v>32486.540727699528</v>
      </c>
      <c r="F23">
        <f t="shared" si="1"/>
        <v>32486.5</v>
      </c>
      <c r="G23">
        <f t="shared" si="2"/>
        <v>3.4699999996519182E-2</v>
      </c>
      <c r="I23">
        <f>+G23</f>
        <v>3.4699999996519182E-2</v>
      </c>
      <c r="O23">
        <f t="shared" ca="1" si="3"/>
        <v>6.3450934662657055E-2</v>
      </c>
      <c r="Q23" s="2">
        <f t="shared" si="4"/>
        <v>37894.983699999997</v>
      </c>
      <c r="R23">
        <f ca="1">+(O23-G23)^2</f>
        <v>8.2661624417652846E-4</v>
      </c>
    </row>
    <row r="24" spans="1:18" x14ac:dyDescent="0.2">
      <c r="A24" s="11" t="s">
        <v>32</v>
      </c>
      <c r="B24" s="12"/>
      <c r="C24" s="15">
        <v>52927.532700000003</v>
      </c>
      <c r="D24" s="15">
        <v>2.9999999999999997E-4</v>
      </c>
      <c r="E24">
        <f t="shared" si="0"/>
        <v>32503.030164319254</v>
      </c>
      <c r="F24">
        <f t="shared" si="1"/>
        <v>32503</v>
      </c>
      <c r="G24">
        <f t="shared" si="2"/>
        <v>2.5700000005599577E-2</v>
      </c>
      <c r="I24">
        <f>+G24</f>
        <v>2.5700000005599577E-2</v>
      </c>
      <c r="O24">
        <f t="shared" ca="1" si="3"/>
        <v>6.4183174262313347E-2</v>
      </c>
      <c r="Q24" s="2">
        <f t="shared" si="4"/>
        <v>37909.032700000003</v>
      </c>
      <c r="R24">
        <f ca="1">+(O24-G24)^2</f>
        <v>1.4809547008725974E-3</v>
      </c>
    </row>
    <row r="25" spans="1:18" x14ac:dyDescent="0.2">
      <c r="A25" s="16" t="s">
        <v>37</v>
      </c>
      <c r="B25" s="17" t="s">
        <v>31</v>
      </c>
      <c r="C25" s="18">
        <v>53410.364000000001</v>
      </c>
      <c r="D25" s="18">
        <v>3.0000000000000001E-3</v>
      </c>
      <c r="E25">
        <f t="shared" si="0"/>
        <v>33069.73356807512</v>
      </c>
      <c r="F25">
        <f t="shared" si="1"/>
        <v>33069.5</v>
      </c>
      <c r="G25">
        <f t="shared" si="2"/>
        <v>0.19900000000052387</v>
      </c>
      <c r="I25">
        <f>+G25</f>
        <v>0.19900000000052387</v>
      </c>
      <c r="O25">
        <f t="shared" ca="1" si="3"/>
        <v>8.9323400517176355E-2</v>
      </c>
      <c r="Q25" s="2">
        <f t="shared" si="4"/>
        <v>38391.864000000001</v>
      </c>
      <c r="R25">
        <f ca="1">+(O25-G25)^2</f>
        <v>1.2028956474230624E-2</v>
      </c>
    </row>
    <row r="26" spans="1:18" x14ac:dyDescent="0.2">
      <c r="A26" s="33" t="s">
        <v>44</v>
      </c>
      <c r="B26" s="34" t="s">
        <v>45</v>
      </c>
      <c r="C26" s="33">
        <v>55119.856800000001</v>
      </c>
      <c r="D26" s="33">
        <v>5.9999999999999995E-4</v>
      </c>
      <c r="E26">
        <f t="shared" si="0"/>
        <v>35076.180516431923</v>
      </c>
      <c r="F26">
        <f t="shared" si="1"/>
        <v>35076</v>
      </c>
      <c r="G26">
        <f t="shared" si="2"/>
        <v>0.15380000000004657</v>
      </c>
      <c r="I26">
        <f>+G26</f>
        <v>0.15380000000004657</v>
      </c>
      <c r="O26">
        <f t="shared" ca="1" si="3"/>
        <v>0.17836817365112601</v>
      </c>
      <c r="Q26" s="2">
        <f t="shared" si="4"/>
        <v>40101.356800000001</v>
      </c>
      <c r="R26">
        <f ca="1">+(O26-G26)^2</f>
        <v>6.0359515654959399E-4</v>
      </c>
    </row>
    <row r="27" spans="1:18" x14ac:dyDescent="0.2">
      <c r="C27" s="13"/>
      <c r="D27" s="13"/>
      <c r="Q27" s="2"/>
    </row>
    <row r="28" spans="1:18" x14ac:dyDescent="0.2">
      <c r="C28" s="13"/>
      <c r="D28" s="13"/>
      <c r="Q28" s="2"/>
    </row>
    <row r="29" spans="1:18" x14ac:dyDescent="0.2">
      <c r="C29" s="13"/>
      <c r="D29" s="13"/>
      <c r="Q29" s="2"/>
    </row>
    <row r="30" spans="1:18" x14ac:dyDescent="0.2">
      <c r="C30" s="13"/>
      <c r="D30" s="13"/>
      <c r="Q30" s="2"/>
    </row>
    <row r="31" spans="1:18" x14ac:dyDescent="0.2">
      <c r="C31" s="13"/>
      <c r="D31" s="13"/>
      <c r="Q31" s="2"/>
    </row>
    <row r="32" spans="1:18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2024-03-03T05:11:00Z</dcterms:modified>
</cp:coreProperties>
</file>