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BE0FFAD-ED2A-49EC-9D61-6132D6F9ED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10" i="1" l="1"/>
  <c r="F110" i="1" s="1"/>
  <c r="G110" i="1" s="1"/>
  <c r="L110" i="1" s="1"/>
  <c r="Q110" i="1"/>
  <c r="Q108" i="1"/>
  <c r="C7" i="1"/>
  <c r="G22" i="1"/>
  <c r="K22" i="1"/>
  <c r="C8" i="1"/>
  <c r="E22" i="1"/>
  <c r="F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E49" i="1"/>
  <c r="F49" i="1"/>
  <c r="G49" i="1"/>
  <c r="K49" i="1"/>
  <c r="E50" i="1"/>
  <c r="F50" i="1"/>
  <c r="G50" i="1"/>
  <c r="K50" i="1"/>
  <c r="E51" i="1"/>
  <c r="F51" i="1"/>
  <c r="G51" i="1"/>
  <c r="E52" i="1"/>
  <c r="F52" i="1"/>
  <c r="G52" i="1"/>
  <c r="K52" i="1"/>
  <c r="E53" i="1"/>
  <c r="F53" i="1"/>
  <c r="G53" i="1"/>
  <c r="K53" i="1"/>
  <c r="E54" i="1"/>
  <c r="F54" i="1"/>
  <c r="G54" i="1"/>
  <c r="K54" i="1"/>
  <c r="E55" i="1"/>
  <c r="F55" i="1"/>
  <c r="G55" i="1"/>
  <c r="K55" i="1"/>
  <c r="E56" i="1"/>
  <c r="F56" i="1"/>
  <c r="G56" i="1"/>
  <c r="K56" i="1"/>
  <c r="E57" i="1"/>
  <c r="F57" i="1"/>
  <c r="G57" i="1"/>
  <c r="K57" i="1"/>
  <c r="E58" i="1"/>
  <c r="F58" i="1"/>
  <c r="G58" i="1"/>
  <c r="K58" i="1"/>
  <c r="E59" i="1"/>
  <c r="F59" i="1"/>
  <c r="G59" i="1"/>
  <c r="E60" i="1"/>
  <c r="F60" i="1"/>
  <c r="G60" i="1"/>
  <c r="K60" i="1"/>
  <c r="E61" i="1"/>
  <c r="F61" i="1"/>
  <c r="G61" i="1"/>
  <c r="K61" i="1"/>
  <c r="E62" i="1"/>
  <c r="F62" i="1"/>
  <c r="G62" i="1"/>
  <c r="K62" i="1"/>
  <c r="E63" i="1"/>
  <c r="F63" i="1"/>
  <c r="G63" i="1"/>
  <c r="K63" i="1"/>
  <c r="E64" i="1"/>
  <c r="F64" i="1"/>
  <c r="G64" i="1"/>
  <c r="K64" i="1"/>
  <c r="E65" i="1"/>
  <c r="F65" i="1"/>
  <c r="G65" i="1"/>
  <c r="K65" i="1"/>
  <c r="E66" i="1"/>
  <c r="F66" i="1"/>
  <c r="G66" i="1"/>
  <c r="K66" i="1"/>
  <c r="E67" i="1"/>
  <c r="F67" i="1"/>
  <c r="G67" i="1"/>
  <c r="E68" i="1"/>
  <c r="F68" i="1"/>
  <c r="G68" i="1"/>
  <c r="K68" i="1"/>
  <c r="E87" i="1"/>
  <c r="F87" i="1"/>
  <c r="G87" i="1"/>
  <c r="K87" i="1"/>
  <c r="E99" i="1"/>
  <c r="F99" i="1"/>
  <c r="G99" i="1"/>
  <c r="K99" i="1"/>
  <c r="E101" i="1"/>
  <c r="F101" i="1"/>
  <c r="G101" i="1"/>
  <c r="K101" i="1"/>
  <c r="E102" i="1"/>
  <c r="F102" i="1"/>
  <c r="G102" i="1"/>
  <c r="K102" i="1"/>
  <c r="E107" i="1"/>
  <c r="F107" i="1"/>
  <c r="G107" i="1"/>
  <c r="K107" i="1"/>
  <c r="E108" i="1"/>
  <c r="F108" i="1"/>
  <c r="G108" i="1"/>
  <c r="K108" i="1"/>
  <c r="E69" i="1"/>
  <c r="F69" i="1"/>
  <c r="G69" i="1"/>
  <c r="E70" i="1"/>
  <c r="F70" i="1"/>
  <c r="G70" i="1"/>
  <c r="E71" i="1"/>
  <c r="F71" i="1"/>
  <c r="G71" i="1"/>
  <c r="E72" i="1"/>
  <c r="F72" i="1"/>
  <c r="G72" i="1"/>
  <c r="E74" i="1"/>
  <c r="F74" i="1"/>
  <c r="G74" i="1"/>
  <c r="E75" i="1"/>
  <c r="F75" i="1"/>
  <c r="G75" i="1"/>
  <c r="E76" i="1"/>
  <c r="F76" i="1"/>
  <c r="G76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8" i="1"/>
  <c r="F88" i="1"/>
  <c r="G88" i="1"/>
  <c r="E89" i="1"/>
  <c r="F89" i="1"/>
  <c r="G89" i="1"/>
  <c r="E90" i="1"/>
  <c r="F90" i="1"/>
  <c r="G90" i="1"/>
  <c r="E96" i="1"/>
  <c r="F96" i="1"/>
  <c r="G96" i="1"/>
  <c r="E97" i="1"/>
  <c r="F97" i="1"/>
  <c r="G97" i="1"/>
  <c r="E98" i="1"/>
  <c r="F98" i="1"/>
  <c r="G98" i="1"/>
  <c r="E100" i="1"/>
  <c r="F100" i="1"/>
  <c r="G100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9" i="1"/>
  <c r="F109" i="1"/>
  <c r="G109" i="1"/>
  <c r="E73" i="1"/>
  <c r="F73" i="1"/>
  <c r="E77" i="1"/>
  <c r="F77" i="1"/>
  <c r="E91" i="1"/>
  <c r="F91" i="1"/>
  <c r="E92" i="1"/>
  <c r="F92" i="1"/>
  <c r="E93" i="1"/>
  <c r="F93" i="1"/>
  <c r="E94" i="1"/>
  <c r="F94" i="1"/>
  <c r="E95" i="1"/>
  <c r="F95" i="1"/>
  <c r="D9" i="1"/>
  <c r="C9" i="1"/>
  <c r="Q107" i="1"/>
  <c r="Q102" i="1"/>
  <c r="Q101" i="1"/>
  <c r="Q99" i="1"/>
  <c r="Q87" i="1"/>
  <c r="Q68" i="1"/>
  <c r="Q67" i="1"/>
  <c r="K67" i="1"/>
  <c r="Q66" i="1"/>
  <c r="Q65" i="1"/>
  <c r="Q64" i="1"/>
  <c r="Q63" i="1"/>
  <c r="Q62" i="1"/>
  <c r="Q61" i="1"/>
  <c r="Q60" i="1"/>
  <c r="Q59" i="1"/>
  <c r="K59" i="1"/>
  <c r="Q58" i="1"/>
  <c r="Q57" i="1"/>
  <c r="Q56" i="1"/>
  <c r="Q55" i="1"/>
  <c r="Q54" i="1"/>
  <c r="Q53" i="1"/>
  <c r="Q52" i="1"/>
  <c r="Q51" i="1"/>
  <c r="K51" i="1"/>
  <c r="Q50" i="1"/>
  <c r="Q49" i="1"/>
  <c r="Q48" i="1"/>
  <c r="Q47" i="1"/>
  <c r="Q46" i="1"/>
  <c r="Q45" i="1"/>
  <c r="Q44" i="1"/>
  <c r="Q43" i="1"/>
  <c r="K43" i="1"/>
  <c r="Q42" i="1"/>
  <c r="Q41" i="1"/>
  <c r="Q40" i="1"/>
  <c r="Q39" i="1"/>
  <c r="Q38" i="1"/>
  <c r="Q37" i="1"/>
  <c r="Q36" i="1"/>
  <c r="Q35" i="1"/>
  <c r="K35" i="1"/>
  <c r="Q34" i="1"/>
  <c r="Q33" i="1"/>
  <c r="Q32" i="1"/>
  <c r="Q31" i="1"/>
  <c r="Q30" i="1"/>
  <c r="Q29" i="1"/>
  <c r="Q28" i="1"/>
  <c r="Q27" i="1"/>
  <c r="K27" i="1"/>
  <c r="Q26" i="1"/>
  <c r="G34" i="2"/>
  <c r="C34" i="2"/>
  <c r="E34" i="2"/>
  <c r="G88" i="2"/>
  <c r="C88" i="2"/>
  <c r="E88" i="2"/>
  <c r="G87" i="2"/>
  <c r="C87" i="2"/>
  <c r="E87" i="2"/>
  <c r="G33" i="2"/>
  <c r="C33" i="2"/>
  <c r="E33" i="2"/>
  <c r="G32" i="2"/>
  <c r="C32" i="2"/>
  <c r="E32" i="2"/>
  <c r="G31" i="2"/>
  <c r="C31" i="2"/>
  <c r="E31" i="2"/>
  <c r="G30" i="2"/>
  <c r="C30" i="2"/>
  <c r="E30" i="2"/>
  <c r="G86" i="2"/>
  <c r="C86" i="2"/>
  <c r="E86" i="2"/>
  <c r="G85" i="2"/>
  <c r="C85" i="2"/>
  <c r="E85" i="2"/>
  <c r="G29" i="2"/>
  <c r="C29" i="2"/>
  <c r="E29" i="2"/>
  <c r="G84" i="2"/>
  <c r="C84" i="2"/>
  <c r="E84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83" i="2"/>
  <c r="C83" i="2"/>
  <c r="E8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H34" i="2"/>
  <c r="B34" i="2"/>
  <c r="D34" i="2"/>
  <c r="A34" i="2"/>
  <c r="H88" i="2"/>
  <c r="D88" i="2"/>
  <c r="B88" i="2"/>
  <c r="A88" i="2"/>
  <c r="H87" i="2"/>
  <c r="B87" i="2"/>
  <c r="D87" i="2"/>
  <c r="A87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F30" i="2"/>
  <c r="D30" i="2"/>
  <c r="B30" i="2"/>
  <c r="A30" i="2"/>
  <c r="H86" i="2"/>
  <c r="B86" i="2"/>
  <c r="F86" i="2"/>
  <c r="D86" i="2"/>
  <c r="A86" i="2"/>
  <c r="H85" i="2"/>
  <c r="F85" i="2"/>
  <c r="D85" i="2"/>
  <c r="B85" i="2"/>
  <c r="A85" i="2"/>
  <c r="H29" i="2"/>
  <c r="B29" i="2"/>
  <c r="F29" i="2"/>
  <c r="D29" i="2"/>
  <c r="A29" i="2"/>
  <c r="H84" i="2"/>
  <c r="B84" i="2"/>
  <c r="F84" i="2"/>
  <c r="D84" i="2"/>
  <c r="A84" i="2"/>
  <c r="H28" i="2"/>
  <c r="B28" i="2"/>
  <c r="D28" i="2"/>
  <c r="A28" i="2"/>
  <c r="H27" i="2"/>
  <c r="B27" i="2"/>
  <c r="D27" i="2"/>
  <c r="A27" i="2"/>
  <c r="H26" i="2"/>
  <c r="D26" i="2"/>
  <c r="B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83" i="2"/>
  <c r="B83" i="2"/>
  <c r="D83" i="2"/>
  <c r="A8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D11" i="2"/>
  <c r="B11" i="2"/>
  <c r="A11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D77" i="2"/>
  <c r="B77" i="2"/>
  <c r="A77" i="2"/>
  <c r="H76" i="2"/>
  <c r="B76" i="2"/>
  <c r="D76" i="2"/>
  <c r="A76" i="2"/>
  <c r="H75" i="2"/>
  <c r="D75" i="2"/>
  <c r="B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D67" i="2"/>
  <c r="B67" i="2"/>
  <c r="A67" i="2"/>
  <c r="H66" i="2"/>
  <c r="B66" i="2"/>
  <c r="D66" i="2"/>
  <c r="A66" i="2"/>
  <c r="H65" i="2"/>
  <c r="B65" i="2"/>
  <c r="D65" i="2"/>
  <c r="A65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D61" i="2"/>
  <c r="B61" i="2"/>
  <c r="A61" i="2"/>
  <c r="H60" i="2"/>
  <c r="B60" i="2"/>
  <c r="D60" i="2"/>
  <c r="A60" i="2"/>
  <c r="H59" i="2"/>
  <c r="D59" i="2"/>
  <c r="B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D51" i="2"/>
  <c r="B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D45" i="2"/>
  <c r="B45" i="2"/>
  <c r="A45" i="2"/>
  <c r="H44" i="2"/>
  <c r="B44" i="2"/>
  <c r="D44" i="2"/>
  <c r="A44" i="2"/>
  <c r="H43" i="2"/>
  <c r="D43" i="2"/>
  <c r="B43" i="2"/>
  <c r="A43" i="2"/>
  <c r="H42" i="2"/>
  <c r="D42" i="2"/>
  <c r="B42" i="2"/>
  <c r="A42" i="2"/>
  <c r="H41" i="2"/>
  <c r="D41" i="2"/>
  <c r="B41" i="2"/>
  <c r="A41" i="2"/>
  <c r="H40" i="2"/>
  <c r="D40" i="2"/>
  <c r="B40" i="2"/>
  <c r="A40" i="2"/>
  <c r="H39" i="2"/>
  <c r="D39" i="2"/>
  <c r="B39" i="2"/>
  <c r="A39" i="2"/>
  <c r="H38" i="2"/>
  <c r="D38" i="2"/>
  <c r="B38" i="2"/>
  <c r="A38" i="2"/>
  <c r="H37" i="2"/>
  <c r="D37" i="2"/>
  <c r="B37" i="2"/>
  <c r="A37" i="2"/>
  <c r="H36" i="2"/>
  <c r="D36" i="2"/>
  <c r="B36" i="2"/>
  <c r="A36" i="2"/>
  <c r="H35" i="2"/>
  <c r="D35" i="2"/>
  <c r="B35" i="2"/>
  <c r="A35" i="2"/>
  <c r="Q109" i="1"/>
  <c r="L109" i="1"/>
  <c r="U73" i="1"/>
  <c r="U77" i="1"/>
  <c r="Q73" i="1"/>
  <c r="I76" i="1"/>
  <c r="Q76" i="1"/>
  <c r="Q77" i="1"/>
  <c r="J104" i="1"/>
  <c r="Q104" i="1"/>
  <c r="J105" i="1"/>
  <c r="Q105" i="1"/>
  <c r="K103" i="1"/>
  <c r="Q103" i="1"/>
  <c r="F16" i="1"/>
  <c r="F17" i="1" s="1"/>
  <c r="C17" i="1"/>
  <c r="J106" i="1"/>
  <c r="Q106" i="1"/>
  <c r="Q75" i="1"/>
  <c r="K75" i="1"/>
  <c r="K97" i="1"/>
  <c r="K98" i="1"/>
  <c r="Q91" i="1"/>
  <c r="Q92" i="1"/>
  <c r="Q93" i="1"/>
  <c r="Q94" i="1"/>
  <c r="Q95" i="1"/>
  <c r="Q97" i="1"/>
  <c r="Q98" i="1"/>
  <c r="Q70" i="1"/>
  <c r="Q71" i="1"/>
  <c r="Q72" i="1"/>
  <c r="Q79" i="1"/>
  <c r="Q81" i="1"/>
  <c r="Q82" i="1"/>
  <c r="Q83" i="1"/>
  <c r="Q85" i="1"/>
  <c r="Q86" i="1"/>
  <c r="Q88" i="1"/>
  <c r="Q89" i="1"/>
  <c r="Q90" i="1"/>
  <c r="Q96" i="1"/>
  <c r="Q74" i="1"/>
  <c r="Q78" i="1"/>
  <c r="Q80" i="1"/>
  <c r="Q84" i="1"/>
  <c r="K71" i="1"/>
  <c r="K72" i="1"/>
  <c r="K79" i="1"/>
  <c r="K81" i="1"/>
  <c r="K82" i="1"/>
  <c r="K83" i="1"/>
  <c r="K85" i="1"/>
  <c r="K86" i="1"/>
  <c r="K88" i="1"/>
  <c r="K89" i="1"/>
  <c r="K90" i="1"/>
  <c r="K96" i="1"/>
  <c r="K70" i="1"/>
  <c r="K78" i="1"/>
  <c r="K80" i="1"/>
  <c r="K84" i="1"/>
  <c r="K74" i="1"/>
  <c r="H69" i="1"/>
  <c r="Q69" i="1"/>
  <c r="K100" i="1"/>
  <c r="Q100" i="1"/>
  <c r="E21" i="1"/>
  <c r="F21" i="1"/>
  <c r="G21" i="1"/>
  <c r="K21" i="1"/>
  <c r="E35" i="2"/>
  <c r="C11" i="1"/>
  <c r="C12" i="1"/>
  <c r="O110" i="1" l="1"/>
  <c r="C16" i="1"/>
  <c r="D18" i="1" s="1"/>
  <c r="O54" i="1"/>
  <c r="O68" i="1"/>
  <c r="O32" i="1"/>
  <c r="O35" i="1"/>
  <c r="O77" i="1"/>
  <c r="O33" i="1"/>
  <c r="O58" i="1"/>
  <c r="O92" i="1"/>
  <c r="O109" i="1"/>
  <c r="O31" i="1"/>
  <c r="O79" i="1"/>
  <c r="O107" i="1"/>
  <c r="O36" i="1"/>
  <c r="O62" i="1"/>
  <c r="O51" i="1"/>
  <c r="O88" i="1"/>
  <c r="O52" i="1"/>
  <c r="O72" i="1"/>
  <c r="O67" i="1"/>
  <c r="O26" i="1"/>
  <c r="O43" i="1"/>
  <c r="O96" i="1"/>
  <c r="O44" i="1"/>
  <c r="O61" i="1"/>
  <c r="O85" i="1"/>
  <c r="O93" i="1"/>
  <c r="C15" i="1"/>
  <c r="O57" i="1"/>
  <c r="O21" i="1"/>
  <c r="O24" i="1"/>
  <c r="O82" i="1"/>
  <c r="O22" i="1"/>
  <c r="O47" i="1"/>
  <c r="O64" i="1"/>
  <c r="O103" i="1"/>
  <c r="O94" i="1"/>
  <c r="O84" i="1"/>
  <c r="O87" i="1"/>
  <c r="O59" i="1"/>
  <c r="O90" i="1"/>
  <c r="O46" i="1"/>
  <c r="O101" i="1"/>
  <c r="O108" i="1"/>
  <c r="O71" i="1"/>
  <c r="O86" i="1"/>
  <c r="O53" i="1"/>
  <c r="O74" i="1"/>
  <c r="O48" i="1"/>
  <c r="O104" i="1"/>
  <c r="O76" i="1"/>
  <c r="O60" i="1"/>
  <c r="O63" i="1"/>
  <c r="O27" i="1"/>
  <c r="O89" i="1"/>
  <c r="O25" i="1"/>
  <c r="O50" i="1"/>
  <c r="O69" i="1"/>
  <c r="O97" i="1"/>
  <c r="O70" i="1"/>
  <c r="O37" i="1"/>
  <c r="O49" i="1"/>
  <c r="O91" i="1"/>
  <c r="O39" i="1"/>
  <c r="O75" i="1"/>
  <c r="O34" i="1"/>
  <c r="O40" i="1"/>
  <c r="O98" i="1"/>
  <c r="O38" i="1"/>
  <c r="O41" i="1"/>
  <c r="O66" i="1"/>
  <c r="O83" i="1"/>
  <c r="O95" i="1"/>
  <c r="O28" i="1"/>
  <c r="O56" i="1"/>
  <c r="O81" i="1"/>
  <c r="O23" i="1"/>
  <c r="O29" i="1"/>
  <c r="O73" i="1"/>
  <c r="O105" i="1"/>
  <c r="O30" i="1"/>
  <c r="O55" i="1"/>
  <c r="O102" i="1"/>
  <c r="O80" i="1"/>
  <c r="O99" i="1"/>
  <c r="O45" i="1"/>
  <c r="O106" i="1"/>
  <c r="O65" i="1"/>
  <c r="O78" i="1"/>
  <c r="O100" i="1"/>
  <c r="O42" i="1"/>
  <c r="F18" i="1" l="1"/>
  <c r="F19" i="1" s="1"/>
  <c r="C18" i="1"/>
</calcChain>
</file>

<file path=xl/sharedStrings.xml><?xml version="1.0" encoding="utf-8"?>
<sst xmlns="http://schemas.openxmlformats.org/spreadsheetml/2006/main" count="797" uniqueCount="359">
  <si>
    <t>Epoch =</t>
  </si>
  <si>
    <t>error</t>
  </si>
  <si>
    <t>GCVS 4</t>
  </si>
  <si>
    <t>IBVS 3355</t>
  </si>
  <si>
    <t>n</t>
  </si>
  <si>
    <t>n'</t>
  </si>
  <si>
    <t>New Ephemeris =</t>
  </si>
  <si>
    <t>New Period =</t>
  </si>
  <si>
    <t>O-C</t>
  </si>
  <si>
    <t>Period =</t>
  </si>
  <si>
    <t>Source</t>
  </si>
  <si>
    <t>ToM</t>
  </si>
  <si>
    <t>Typ</t>
  </si>
  <si>
    <t>Y2</t>
  </si>
  <si>
    <t>Y3</t>
  </si>
  <si>
    <t>Date</t>
  </si>
  <si>
    <t>System Type:</t>
  </si>
  <si>
    <t>GCVS 4 Eph.</t>
  </si>
  <si>
    <t>--- Working ----</t>
  </si>
  <si>
    <t>LS Intercept =</t>
  </si>
  <si>
    <t>LS Slope =</t>
  </si>
  <si>
    <t>LS Quadr term =</t>
  </si>
  <si>
    <t>New epoch =</t>
  </si>
  <si>
    <t>Linear</t>
  </si>
  <si>
    <t>Quadratic</t>
  </si>
  <si>
    <t>Lin. Fit</t>
  </si>
  <si>
    <t>Q. fit</t>
  </si>
  <si>
    <t>EA</t>
  </si>
  <si>
    <t>IBVS 1121</t>
  </si>
  <si>
    <t>IBVS 910</t>
  </si>
  <si>
    <t>Locher</t>
  </si>
  <si>
    <t>K</t>
  </si>
  <si>
    <t>BBSAG Bull.6</t>
  </si>
  <si>
    <t>B</t>
  </si>
  <si>
    <t>BBSAG Bull.39</t>
  </si>
  <si>
    <t>BBSAG Bull.62</t>
  </si>
  <si>
    <t>Misc</t>
  </si>
  <si>
    <t>IBVS 0046</t>
  </si>
  <si>
    <t>S6</t>
  </si>
  <si>
    <t>IBVS 0910</t>
  </si>
  <si>
    <t># of data points:</t>
  </si>
  <si>
    <t>RW Per / GSC 02887-01673</t>
  </si>
  <si>
    <t>My time zone &gt;&gt;&gt;&gt;&gt;</t>
  </si>
  <si>
    <t>(PST=8, PDT=MDT=7, MDT=CST=6, etc.)</t>
  </si>
  <si>
    <t>na</t>
  </si>
  <si>
    <t>JD today</t>
  </si>
  <si>
    <t>New Cycle</t>
  </si>
  <si>
    <t>Next ToM</t>
  </si>
  <si>
    <t>Start of linear fit &gt;&gt;&gt;&gt;&gt;&gt;&gt;&gt;&gt;&gt;&gt;&gt;&gt;&gt;&gt;&gt;&gt;&gt;&gt;&gt;&gt;</t>
  </si>
  <si>
    <t>IBVS 5874</t>
  </si>
  <si>
    <t>I</t>
  </si>
  <si>
    <t>Add cycle</t>
  </si>
  <si>
    <t>Old Cycle</t>
  </si>
  <si>
    <t>pg</t>
  </si>
  <si>
    <t>IBVS 6007</t>
  </si>
  <si>
    <t>OEJV 0001</t>
  </si>
  <si>
    <t>vis</t>
  </si>
  <si>
    <t>BAD</t>
  </si>
  <si>
    <t>OEJV 0172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</si>
  <si>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</si>
  <si>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</si>
  <si>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</si>
  <si>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</si>
  <si>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</si>
  <si>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</si>
  <si>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</si>
  <si>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</t>
  </si>
  <si>
    <t>V</t>
  </si>
  <si>
    <t>F </t>
  </si>
  <si>
    <t>2411636.839 </t>
  </si>
  <si>
    <t> 26.09.1890 08:08 </t>
  </si>
  <si>
    <t> 0.472 </t>
  </si>
  <si>
    <t>P </t>
  </si>
  <si>
    <t> E.C.Pickering </t>
  </si>
  <si>
    <t> HC 114 </t>
  </si>
  <si>
    <t>2411636.881 </t>
  </si>
  <si>
    <t> 26.09.1890 09:08 </t>
  </si>
  <si>
    <t> 0.514 </t>
  </si>
  <si>
    <t>2412085.664 </t>
  </si>
  <si>
    <t> 19.12.1891 03:56 </t>
  </si>
  <si>
    <t> 0.535 </t>
  </si>
  <si>
    <t>2413946.665 </t>
  </si>
  <si>
    <t> 22.01.1897 03:57 </t>
  </si>
  <si>
    <t> 0.490 </t>
  </si>
  <si>
    <t>2414619.707 </t>
  </si>
  <si>
    <t> 26.11.1898 04:58 </t>
  </si>
  <si>
    <t> 0.388 </t>
  </si>
  <si>
    <t>2415424.569 </t>
  </si>
  <si>
    <t> 09.02.1901 01:39 </t>
  </si>
  <si>
    <t> 0.117 </t>
  </si>
  <si>
    <t>2415767.647 </t>
  </si>
  <si>
    <t> 18.01.1902 03:31 </t>
  </si>
  <si>
    <t> 0.023 </t>
  </si>
  <si>
    <t>2416031.830 </t>
  </si>
  <si>
    <t> 09.10.1902 07:55 </t>
  </si>
  <si>
    <t> 0.228 </t>
  </si>
  <si>
    <t>2416111.646 </t>
  </si>
  <si>
    <t> 28.12.1902 03:30 </t>
  </si>
  <si>
    <t> 0.851 </t>
  </si>
  <si>
    <t>2416401.769 </t>
  </si>
  <si>
    <t> 14.10.1903 06:27 </t>
  </si>
  <si>
    <t> 0.598 </t>
  </si>
  <si>
    <t>2416414.778 </t>
  </si>
  <si>
    <t> 27.10.1903 06:40 </t>
  </si>
  <si>
    <t> 0.408 </t>
  </si>
  <si>
    <t>2416427.747 </t>
  </si>
  <si>
    <t> 09.11.1903 05:55 </t>
  </si>
  <si>
    <t> 0.178 </t>
  </si>
  <si>
    <t>2416467.668 </t>
  </si>
  <si>
    <t> 19.12.1903 04:01 </t>
  </si>
  <si>
    <t> 0.502 </t>
  </si>
  <si>
    <t>2416507.595 </t>
  </si>
  <si>
    <t> 28.01.1904 02:16 </t>
  </si>
  <si>
    <t> 0.833 </t>
  </si>
  <si>
    <t>2416757.837 </t>
  </si>
  <si>
    <t> 04.10.1904 08:05 </t>
  </si>
  <si>
    <t> 0.296 </t>
  </si>
  <si>
    <t>2416770.747 </t>
  </si>
  <si>
    <t> 17.10.1904 05:55 </t>
  </si>
  <si>
    <t> 0.007 </t>
  </si>
  <si>
    <t>2416810.671 </t>
  </si>
  <si>
    <t> 26.11.1904 04:06 </t>
  </si>
  <si>
    <t> 0.334 </t>
  </si>
  <si>
    <t>2416823.783 </t>
  </si>
  <si>
    <t> 09.12.1904 06:47 </t>
  </si>
  <si>
    <t> 0.247 </t>
  </si>
  <si>
    <t>2416916.615 </t>
  </si>
  <si>
    <t> 12.03.1905 02:45 </t>
  </si>
  <si>
    <t> 0.687 </t>
  </si>
  <si>
    <t>2417074.835 </t>
  </si>
  <si>
    <t> 17.08.1905 08:02 </t>
  </si>
  <si>
    <t> 0.520 </t>
  </si>
  <si>
    <t>2417259.542 </t>
  </si>
  <si>
    <t> 18.02.1906 01:00 </t>
  </si>
  <si>
    <t> 0.442 </t>
  </si>
  <si>
    <t>2417312.338 </t>
  </si>
  <si>
    <t> 11.04.1906 20:06 </t>
  </si>
  <si>
    <t> 0.443 </t>
  </si>
  <si>
    <t>V </t>
  </si>
  <si>
    <t> E.Hartwig </t>
  </si>
  <si>
    <t> VB 1.11 </t>
  </si>
  <si>
    <t>2417497.125 </t>
  </si>
  <si>
    <t> 13.10.1906 15:00 </t>
  </si>
  <si>
    <t> 0.445 </t>
  </si>
  <si>
    <t>2417523.500 </t>
  </si>
  <si>
    <t> 09.11.1906 00:00 </t>
  </si>
  <si>
    <t> 0.422 </t>
  </si>
  <si>
    <t>2424136.160 </t>
  </si>
  <si>
    <t> 16.12.1924 15:50 </t>
  </si>
  <si>
    <t> 0.431 </t>
  </si>
  <si>
    <t> K.Kordylewski </t>
  </si>
  <si>
    <t> AA 11.48 </t>
  </si>
  <si>
    <t>2425152.443 </t>
  </si>
  <si>
    <t> 28.09.1927 22:37 </t>
  </si>
  <si>
    <t> 0.399 </t>
  </si>
  <si>
    <t>2425192.055 </t>
  </si>
  <si>
    <t> 07.11.1927 13:19 </t>
  </si>
  <si>
    <t> 0.414 </t>
  </si>
  <si>
    <t>2425324.070 </t>
  </si>
  <si>
    <t> 18.03.1928 13:40 </t>
  </si>
  <si>
    <t> 0.440 </t>
  </si>
  <si>
    <t>2425324.304 </t>
  </si>
  <si>
    <t> 18.03.1928 19:17 </t>
  </si>
  <si>
    <t> 0.674 </t>
  </si>
  <si>
    <t> J.Mergentaler </t>
  </si>
  <si>
    <t> AA 27.159 </t>
  </si>
  <si>
    <t>2425469.220 </t>
  </si>
  <si>
    <t> 10.08.1928 17:16 </t>
  </si>
  <si>
    <t> 0.402 </t>
  </si>
  <si>
    <t>2425482.422 </t>
  </si>
  <si>
    <t> 23.08.1928 22:07 </t>
  </si>
  <si>
    <t> 0.405 </t>
  </si>
  <si>
    <t>2425838.758 </t>
  </si>
  <si>
    <t> 15.08.1929 06:11 </t>
  </si>
  <si>
    <t> 0.371 </t>
  </si>
  <si>
    <t>2425865.162 </t>
  </si>
  <si>
    <t> 10.09.1929 15:53 </t>
  </si>
  <si>
    <t> 0.377 </t>
  </si>
  <si>
    <t>2426419.528 </t>
  </si>
  <si>
    <t> 19.03.1931 00:40 </t>
  </si>
  <si>
    <t> 0.389 </t>
  </si>
  <si>
    <t>2427699.748 </t>
  </si>
  <si>
    <t> 19.09.1934 05:57 </t>
  </si>
  <si>
    <t> 0.315 </t>
  </si>
  <si>
    <t> S.Szczyrbak </t>
  </si>
  <si>
    <t>2428188.114 </t>
  </si>
  <si>
    <t> 20.01.1936 14:44 </t>
  </si>
  <si>
    <t> 0.322 </t>
  </si>
  <si>
    <t>2428359.695 </t>
  </si>
  <si>
    <t> 10.07.1936 04:40 </t>
  </si>
  <si>
    <t> 0.317 </t>
  </si>
  <si>
    <t>2428755.653 </t>
  </si>
  <si>
    <t> 10.08.1937 03:40 </t>
  </si>
  <si>
    <t> 0.308 </t>
  </si>
  <si>
    <t>2428834.816 </t>
  </si>
  <si>
    <t> 28.10.1937 07:35 </t>
  </si>
  <si>
    <t> 0.277 </t>
  </si>
  <si>
    <t>2429217.587 </t>
  </si>
  <si>
    <t> 15.11.1938 02:05 </t>
  </si>
  <si>
    <t> 0.280 </t>
  </si>
  <si>
    <t> E.J.Woodward </t>
  </si>
  <si>
    <t> HB 917.7 </t>
  </si>
  <si>
    <t>2429877.823 </t>
  </si>
  <si>
    <t> 05.09.1940 07:45 </t>
  </si>
  <si>
    <t> 0.571 </t>
  </si>
  <si>
    <t> S.Gaposchkin </t>
  </si>
  <si>
    <t> HA 113.76 </t>
  </si>
  <si>
    <t>2430431.820 </t>
  </si>
  <si>
    <t> 13.03.1942 07:40 </t>
  </si>
  <si>
    <t> 0.214 </t>
  </si>
  <si>
    <t>2433005.546 </t>
  </si>
  <si>
    <t> 30.03.1949 01:06 </t>
  </si>
  <si>
    <t> 0.154 </t>
  </si>
  <si>
    <t>2433744.637 </t>
  </si>
  <si>
    <t> 08.04.1951 03:17 </t>
  </si>
  <si>
    <t> 0.106 </t>
  </si>
  <si>
    <t>2435130.469 </t>
  </si>
  <si>
    <t> 22.01.1955 23:15 </t>
  </si>
  <si>
    <t> 0.053 </t>
  </si>
  <si>
    <t> B.S.Whitney </t>
  </si>
  <si>
    <t> AJ 64.262 </t>
  </si>
  <si>
    <t>2435341.655 </t>
  </si>
  <si>
    <t> 22.08.1955 03:43 </t>
  </si>
  <si>
    <t> 0.057 </t>
  </si>
  <si>
    <t>2435420.840 </t>
  </si>
  <si>
    <t> 09.11.1955 08:09 </t>
  </si>
  <si>
    <t> 0.048 </t>
  </si>
  <si>
    <t>2435698.020 </t>
  </si>
  <si>
    <t> 12.08.1956 12:28 </t>
  </si>
  <si>
    <t> 0.051 </t>
  </si>
  <si>
    <t>2437730.600 </t>
  </si>
  <si>
    <t> 07.03.1962 02:24 </t>
  </si>
  <si>
    <t> 0.000 </t>
  </si>
  <si>
    <t> H.Busch </t>
  </si>
  <si>
    <t>IBVS 1121 </t>
  </si>
  <si>
    <t>2437902.201 </t>
  </si>
  <si>
    <t> 25.08.1962 16:49 </t>
  </si>
  <si>
    <t> 0.015 </t>
  </si>
  <si>
    <t>2438060.602 </t>
  </si>
  <si>
    <t> 31.01.1963 02:26 </t>
  </si>
  <si>
    <t> 0.029 </t>
  </si>
  <si>
    <t>2439063.684 </t>
  </si>
  <si>
    <t> 30.10.1965 04:24 </t>
  </si>
  <si>
    <t> -0.005 </t>
  </si>
  <si>
    <t>E </t>
  </si>
  <si>
    <t>?</t>
  </si>
  <si>
    <t> D.S.Hall </t>
  </si>
  <si>
    <t>IBVS 910 </t>
  </si>
  <si>
    <t>2439063.736 </t>
  </si>
  <si>
    <t> 30.10.1965 05:39 </t>
  </si>
  <si>
    <t> 0.047 </t>
  </si>
  <si>
    <t>2439076.883 </t>
  </si>
  <si>
    <t> 12.11.1965 09:11 </t>
  </si>
  <si>
    <t>2439380.494 </t>
  </si>
  <si>
    <t> 11.09.1966 23:51 </t>
  </si>
  <si>
    <t> 0.031 </t>
  </si>
  <si>
    <t>2439538.831 </t>
  </si>
  <si>
    <t> 17.02.1967 07:56 </t>
  </si>
  <si>
    <t> -0.019 </t>
  </si>
  <si>
    <t>2439776.479 </t>
  </si>
  <si>
    <t> 12.10.1967 23:29 </t>
  </si>
  <si>
    <t> 0.049 </t>
  </si>
  <si>
    <t>2439802.822 </t>
  </si>
  <si>
    <t> 08.11.1967 07:43 </t>
  </si>
  <si>
    <t> -0.006 </t>
  </si>
  <si>
    <t>2440317.612 </t>
  </si>
  <si>
    <t> 06.04.1969 02:41 </t>
  </si>
  <si>
    <t> 0.027 </t>
  </si>
  <si>
    <t>2440858.729 </t>
  </si>
  <si>
    <t> 29.09.1970 05:29 </t>
  </si>
  <si>
    <t> -0.011 </t>
  </si>
  <si>
    <t>2440898.3330 </t>
  </si>
  <si>
    <t> 07.11.1970 19:59 </t>
  </si>
  <si>
    <t> -0.0039 </t>
  </si>
  <si>
    <t>IBVS 972 </t>
  </si>
  <si>
    <t>2440924.751 </t>
  </si>
  <si>
    <t> 04.12.1970 06:01 </t>
  </si>
  <si>
    <t> 0.016 </t>
  </si>
  <si>
    <t>2441056.712 </t>
  </si>
  <si>
    <t> 15.04.1971 05:05 </t>
  </si>
  <si>
    <t> -0.012 </t>
  </si>
  <si>
    <t>2441333.932 </t>
  </si>
  <si>
    <t> 17.01.1972 10:22 </t>
  </si>
  <si>
    <t>2441650.663 </t>
  </si>
  <si>
    <t> 29.11.1972 03:54 </t>
  </si>
  <si>
    <t>2443775.627 </t>
  </si>
  <si>
    <t> 24.09.1978 03:02 </t>
  </si>
  <si>
    <t> -0.071 </t>
  </si>
  <si>
    <t> K.Locher </t>
  </si>
  <si>
    <t> BBS 39 </t>
  </si>
  <si>
    <t>2445227.584 </t>
  </si>
  <si>
    <t> 15.09.1982 02:00 </t>
  </si>
  <si>
    <t> BBS 62 </t>
  </si>
  <si>
    <t>2445280.4013 </t>
  </si>
  <si>
    <t> 06.11.1982 21:37 </t>
  </si>
  <si>
    <t> 0.0283 </t>
  </si>
  <si>
    <t> M.Fernandes </t>
  </si>
  <si>
    <t>BAVM 36 </t>
  </si>
  <si>
    <t>2447207.426 </t>
  </si>
  <si>
    <t> 15.02.1988 22:13 </t>
  </si>
  <si>
    <t> 0.013 </t>
  </si>
  <si>
    <t> Gröbel et al. </t>
  </si>
  <si>
    <t>IBVS 3355 </t>
  </si>
  <si>
    <t>2448170.950 </t>
  </si>
  <si>
    <t> 06.10.1990 10:48 </t>
  </si>
  <si>
    <t> 0.017 </t>
  </si>
  <si>
    <t> Olson (Agerer) </t>
  </si>
  <si>
    <t> AJ 103.256 </t>
  </si>
  <si>
    <t>2451140.70 </t>
  </si>
  <si>
    <t> 23.11.1998 04:48 </t>
  </si>
  <si>
    <t> 0.01 </t>
  </si>
  <si>
    <t> R.Meyer </t>
  </si>
  <si>
    <t>BAVM 122 </t>
  </si>
  <si>
    <t>2453133.685 </t>
  </si>
  <si>
    <t> 08.05.2004 04:26 </t>
  </si>
  <si>
    <t> -0.036 </t>
  </si>
  <si>
    <t>BAVM 174 </t>
  </si>
  <si>
    <t>2454084.06800 </t>
  </si>
  <si>
    <t> 14.12.2006 13:37 </t>
  </si>
  <si>
    <t> 0.02603 </t>
  </si>
  <si>
    <t>C </t>
  </si>
  <si>
    <t> P.Zasche </t>
  </si>
  <si>
    <t>IBVS 6007 </t>
  </si>
  <si>
    <t>2454387.63590 </t>
  </si>
  <si>
    <t> 14.10.2007 03:15 </t>
  </si>
  <si>
    <t> 0.01914 </t>
  </si>
  <si>
    <t>2454506.4270 </t>
  </si>
  <si>
    <t> 09.02.2008 22:14 </t>
  </si>
  <si>
    <t> 0.0201 </t>
  </si>
  <si>
    <t>-I</t>
  </si>
  <si>
    <t> F.Agerer </t>
  </si>
  <si>
    <t>BAVM 201 </t>
  </si>
  <si>
    <t>2454757.2120 </t>
  </si>
  <si>
    <t> 17.10.2008 17:05 </t>
  </si>
  <si>
    <t>1368</t>
  </si>
  <si>
    <t> 0.0259 </t>
  </si>
  <si>
    <t> H.Itoh </t>
  </si>
  <si>
    <t>VSB 48 </t>
  </si>
  <si>
    <t>2456605.0847 </t>
  </si>
  <si>
    <t> 08.11.2013 14:01 </t>
  </si>
  <si>
    <t>1508</t>
  </si>
  <si>
    <t> 0.0521 </t>
  </si>
  <si>
    <t>Rc</t>
  </si>
  <si>
    <t> K.Shiokawa </t>
  </si>
  <si>
    <t>VSB 56 </t>
  </si>
  <si>
    <t>2457027.451 </t>
  </si>
  <si>
    <t> 04.01.2015 22:49 </t>
  </si>
  <si>
    <t>1540</t>
  </si>
  <si>
    <t>o</t>
  </si>
  <si>
    <t> A.Paschke </t>
  </si>
  <si>
    <t>OEJV 0172 </t>
  </si>
  <si>
    <t>JBAV, 63</t>
  </si>
  <si>
    <t>II</t>
  </si>
  <si>
    <t>26/09/1890</t>
  </si>
  <si>
    <t>19/12/1891</t>
  </si>
  <si>
    <t>22/01/1897</t>
  </si>
  <si>
    <t>26/11/1898</t>
  </si>
  <si>
    <t>vis?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</si>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</sst>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/>
    <xf numFmtId="3" fontId="21" fillId="2" borderId="0"/>
    <xf numFmtId="164" fontId="21" fillId="2" borderId="0"/>
    <xf numFmtId="0" fontId="21" fillId="2" borderId="0"/>
    <xf numFmtId="2" fontId="21" fillId="2" borderId="0"/>
    <xf numFmtId="0" fontId="1" fillId="2" borderId="0"/>
    <xf numFmtId="0" fontId="2" fillId="2" borderId="0"/>
    <xf numFmtId="0" fontId="17" fillId="0" borderId="0" applyNumberFormat="0" applyFill="0" applyBorder="0" applyAlignment="0" applyProtection="0">
      <alignment vertical="top"/>
      <protection locked="0"/>
    </xf>
    <xf numFmtId="0" fontId="21" fillId="2" borderId="2"/>
  </cellStyleXfs>
  <cellXfs count="86"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0" xfId="0" applyAlignment="1">
      <alignment horizontal="center"/>
    </xf>
    <xf numFmtId="0" fontId="6" fillId="2" borderId="1" xfId="0" applyFont="1" applyFill="1" applyBorder="1"/>
    <xf numFmtId="0" fontId="0" fillId="2" borderId="1" xfId="0" applyFill="1" applyBorder="1" applyAlignment="1">
      <alignment horizontal="left"/>
    </xf>
    <xf numFmtId="0" fontId="3" fillId="2" borderId="1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/>
    </xf>
    <xf numFmtId="0" fontId="14" fillId="2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17" fillId="0" borderId="0" xfId="7" applyAlignment="1" applyProtection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0" xfId="0" quotePrefix="1"/>
    <xf numFmtId="0" fontId="18" fillId="3" borderId="19" xfId="0" applyFont="1" applyFill="1" applyBorder="1" applyAlignment="1">
      <alignment horizontal="left" vertical="top" wrapText="1" indent="1"/>
    </xf>
    <xf numFmtId="0" fontId="18" fillId="3" borderId="19" xfId="0" applyFont="1" applyFill="1" applyBorder="1" applyAlignment="1">
      <alignment horizontal="center" vertical="top" wrapText="1"/>
    </xf>
    <xf numFmtId="0" fontId="18" fillId="3" borderId="19" xfId="0" applyFont="1" applyFill="1" applyBorder="1" applyAlignment="1">
      <alignment horizontal="right" vertical="top" wrapText="1"/>
    </xf>
    <xf numFmtId="0" fontId="17" fillId="3" borderId="19" xfId="7" applyFill="1" applyBorder="1" applyAlignment="1" applyProtection="1">
      <alignment horizontal="right" vertical="top" wrapTex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9" fillId="2" borderId="0" xfId="0" applyFont="1" applyFill="1"/>
    <xf numFmtId="0" fontId="15" fillId="0" borderId="1" xfId="0" applyFont="1" applyBorder="1" applyAlignment="1">
      <alignment horizontal="left" vertical="top"/>
    </xf>
    <xf numFmtId="0" fontId="19" fillId="2" borderId="0" xfId="0" applyFont="1" applyFill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9" fillId="2" borderId="0" xfId="0" applyFont="1" applyFill="1" applyAlignment="1">
      <alignment horizontal="left"/>
    </xf>
    <xf numFmtId="165" fontId="12" fillId="0" borderId="1" xfId="0" applyNumberFormat="1" applyFont="1" applyBorder="1" applyAlignment="1">
      <alignment horizontal="left" vertical="top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7" xfId="0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14" fontId="21" fillId="2" borderId="3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14" fontId="21" fillId="2" borderId="1" xfId="0" applyNumberFormat="1" applyFont="1" applyFill="1" applyBorder="1" applyAlignment="1">
      <alignment vertical="center"/>
    </xf>
    <xf numFmtId="14" fontId="0" fillId="2" borderId="1" xfId="0" applyNumberFormat="1" applyFill="1" applyBorder="1" applyAlignment="1">
      <alignment vertical="center"/>
    </xf>
    <xf numFmtId="166" fontId="22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Per - O-C Diagr.</a:t>
            </a:r>
          </a:p>
        </c:rich>
      </c:tx>
      <c:layout>
        <c:manualLayout>
          <c:xMode val="edge"/>
          <c:yMode val="edge"/>
          <c:x val="0.3947733287121778"/>
          <c:y val="3.44827586206896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1637556711521"/>
          <c:y val="0.15360525079173626"/>
          <c:w val="0.84044072953431903"/>
          <c:h val="0.6175558042035110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49-48C1-8429-C5D1E0F1D2A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5">
                  <c:v>3.0979439999937313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49-48C1-8429-C5D1E0F1D2A4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83">
                  <c:v>2.6031999994302168E-2</c:v>
                </c:pt>
                <c:pt idx="84">
                  <c:v>1.9139999996696133E-2</c:v>
                </c:pt>
                <c:pt idx="85">
                  <c:v>2.0104000002902467E-2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49-48C1-8429-C5D1E0F1D2A4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0.47229599999627681</c:v>
                </c:pt>
                <c:pt idx="1">
                  <c:v>0.51429599999573838</c:v>
                </c:pt>
                <c:pt idx="2">
                  <c:v>0.53456000000005588</c:v>
                </c:pt>
                <c:pt idx="3">
                  <c:v>0.49009599999772036</c:v>
                </c:pt>
                <c:pt idx="4">
                  <c:v>0.38799199999812117</c:v>
                </c:pt>
                <c:pt idx="5">
                  <c:v>0.11684799999784445</c:v>
                </c:pt>
                <c:pt idx="6">
                  <c:v>2.3343999997450737E-2</c:v>
                </c:pt>
                <c:pt idx="7">
                  <c:v>0.22826399999576097</c:v>
                </c:pt>
                <c:pt idx="8">
                  <c:v>0.8508399999991525</c:v>
                </c:pt>
                <c:pt idx="9">
                  <c:v>0.59795199999643955</c:v>
                </c:pt>
                <c:pt idx="10">
                  <c:v>0.40804799999750685</c:v>
                </c:pt>
                <c:pt idx="11">
                  <c:v>0.17814399999770103</c:v>
                </c:pt>
                <c:pt idx="12">
                  <c:v>0.50243199999749777</c:v>
                </c:pt>
                <c:pt idx="13">
                  <c:v>0.83271999999851687</c:v>
                </c:pt>
                <c:pt idx="14">
                  <c:v>0.2955439999968803</c:v>
                </c:pt>
                <c:pt idx="15">
                  <c:v>6.6399999959685374E-3</c:v>
                </c:pt>
                <c:pt idx="16">
                  <c:v>0.33392799999637646</c:v>
                </c:pt>
                <c:pt idx="17">
                  <c:v>0.24702399999659974</c:v>
                </c:pt>
                <c:pt idx="18">
                  <c:v>0.68669600000066566</c:v>
                </c:pt>
                <c:pt idx="19">
                  <c:v>0.51984799999627285</c:v>
                </c:pt>
                <c:pt idx="20">
                  <c:v>0.44219199999861303</c:v>
                </c:pt>
                <c:pt idx="21">
                  <c:v>0.44257599999764352</c:v>
                </c:pt>
                <c:pt idx="22">
                  <c:v>0.44491999999809195</c:v>
                </c:pt>
                <c:pt idx="23">
                  <c:v>0.42211199999655946</c:v>
                </c:pt>
                <c:pt idx="24">
                  <c:v>0.43120799999815063</c:v>
                </c:pt>
                <c:pt idx="25">
                  <c:v>0.3985999999968044</c:v>
                </c:pt>
                <c:pt idx="26">
                  <c:v>0.41388799999549519</c:v>
                </c:pt>
                <c:pt idx="27">
                  <c:v>0.43984799999452662</c:v>
                </c:pt>
                <c:pt idx="28">
                  <c:v>0.67384799999490497</c:v>
                </c:pt>
                <c:pt idx="29">
                  <c:v>0.40190399999846704</c:v>
                </c:pt>
                <c:pt idx="30">
                  <c:v>0.40499999999519787</c:v>
                </c:pt>
                <c:pt idx="31">
                  <c:v>0.3705919999993057</c:v>
                </c:pt>
                <c:pt idx="32">
                  <c:v>0.37678399999640533</c:v>
                </c:pt>
                <c:pt idx="33">
                  <c:v>0.38881599999513128</c:v>
                </c:pt>
                <c:pt idx="34">
                  <c:v>0.31512799999472918</c:v>
                </c:pt>
                <c:pt idx="35">
                  <c:v>0.32168000000092434</c:v>
                </c:pt>
                <c:pt idx="36">
                  <c:v>0.31692799999655108</c:v>
                </c:pt>
                <c:pt idx="37">
                  <c:v>0.30780799999411101</c:v>
                </c:pt>
                <c:pt idx="38">
                  <c:v>0.27738399999361718</c:v>
                </c:pt>
                <c:pt idx="39">
                  <c:v>0.28016799999750219</c:v>
                </c:pt>
                <c:pt idx="40">
                  <c:v>0.5709679999963555</c:v>
                </c:pt>
                <c:pt idx="41">
                  <c:v>0.21399999999630381</c:v>
                </c:pt>
                <c:pt idx="42">
                  <c:v>0.15372000000206754</c:v>
                </c:pt>
                <c:pt idx="43">
                  <c:v>0.10609599999588681</c:v>
                </c:pt>
                <c:pt idx="44">
                  <c:v>5.3175999993982259E-2</c:v>
                </c:pt>
                <c:pt idx="45">
                  <c:v>5.6711999997787643E-2</c:v>
                </c:pt>
                <c:pt idx="46">
                  <c:v>4.8287999990861863E-2</c:v>
                </c:pt>
                <c:pt idx="47">
                  <c:v>5.1303999993251637E-2</c:v>
                </c:pt>
                <c:pt idx="49">
                  <c:v>8.7999993411358446E-5</c:v>
                </c:pt>
                <c:pt idx="50">
                  <c:v>1.5335999996750616E-2</c:v>
                </c:pt>
                <c:pt idx="51">
                  <c:v>2.9487999992852565E-2</c:v>
                </c:pt>
                <c:pt idx="53">
                  <c:v>-9.6320000011473894E-3</c:v>
                </c:pt>
                <c:pt idx="54">
                  <c:v>-9.6320000011473894E-3</c:v>
                </c:pt>
                <c:pt idx="57">
                  <c:v>-5.21600000502076E-3</c:v>
                </c:pt>
                <c:pt idx="58">
                  <c:v>4.6783999991021119E-2</c:v>
                </c:pt>
                <c:pt idx="59">
                  <c:v>-5.1200000016251579E-3</c:v>
                </c:pt>
                <c:pt idx="60">
                  <c:v>3.1087999996088911E-2</c:v>
                </c:pt>
                <c:pt idx="61">
                  <c:v>-1.8760000006295741E-2</c:v>
                </c:pt>
                <c:pt idx="62">
                  <c:v>4.8967999995511491E-2</c:v>
                </c:pt>
                <c:pt idx="63">
                  <c:v>-5.8400000052643009E-3</c:v>
                </c:pt>
                <c:pt idx="64">
                  <c:v>2.6903999998467043E-2</c:v>
                </c:pt>
                <c:pt idx="65">
                  <c:v>-1.1160000001837034E-2</c:v>
                </c:pt>
                <c:pt idx="66">
                  <c:v>-3.8720000011380762E-3</c:v>
                </c:pt>
                <c:pt idx="67">
                  <c:v>1.6319999995175749E-2</c:v>
                </c:pt>
                <c:pt idx="68">
                  <c:v>-1.1720000002242159E-2</c:v>
                </c:pt>
                <c:pt idx="69">
                  <c:v>3.1295999993744772E-2</c:v>
                </c:pt>
                <c:pt idx="75">
                  <c:v>-1.1400000003050081E-2</c:v>
                </c:pt>
                <c:pt idx="76">
                  <c:v>-7.0944000006420538E-2</c:v>
                </c:pt>
                <c:pt idx="77">
                  <c:v>6.6159999987576157E-3</c:v>
                </c:pt>
                <c:pt idx="78">
                  <c:v>2.8299999990849756E-2</c:v>
                </c:pt>
                <c:pt idx="79">
                  <c:v>1.3015999997151084E-2</c:v>
                </c:pt>
                <c:pt idx="80">
                  <c:v>1.702399999339832E-2</c:v>
                </c:pt>
                <c:pt idx="81">
                  <c:v>1.3623999991978053E-2</c:v>
                </c:pt>
                <c:pt idx="82">
                  <c:v>-3.588000001036562E-2</c:v>
                </c:pt>
                <c:pt idx="86">
                  <c:v>2.5927999995474238E-2</c:v>
                </c:pt>
                <c:pt idx="87">
                  <c:v>5.2067999997234438E-2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49-48C1-8429-C5D1E0F1D2A4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88">
                  <c:v>5.3439999996044207E-2</c:v>
                </c:pt>
                <c:pt idx="89">
                  <c:v>7.3195999997551553E-2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49-48C1-8429-C5D1E0F1D2A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849-48C1-8429-C5D1E0F1D2A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849-48C1-8429-C5D1E0F1D2A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-0.10784008509516621</c:v>
                </c:pt>
                <c:pt idx="1">
                  <c:v>-0.10784008509516621</c:v>
                </c:pt>
                <c:pt idx="2">
                  <c:v>-0.10640554892730483</c:v>
                </c:pt>
                <c:pt idx="3">
                  <c:v>-0.10045644305470333</c:v>
                </c:pt>
                <c:pt idx="4">
                  <c:v>-9.8304638802911293E-2</c:v>
                </c:pt>
                <c:pt idx="5">
                  <c:v>-9.5730912148807079E-2</c:v>
                </c:pt>
                <c:pt idx="6">
                  <c:v>-9.4633913902795463E-2</c:v>
                </c:pt>
                <c:pt idx="7">
                  <c:v>-9.3790069098171114E-2</c:v>
                </c:pt>
                <c:pt idx="8">
                  <c:v>-9.353691565678382E-2</c:v>
                </c:pt>
                <c:pt idx="9">
                  <c:v>-9.2608686371697058E-2</c:v>
                </c:pt>
                <c:pt idx="10">
                  <c:v>-9.2566494131465837E-2</c:v>
                </c:pt>
                <c:pt idx="11">
                  <c:v>-9.2524301891234617E-2</c:v>
                </c:pt>
                <c:pt idx="12">
                  <c:v>-9.2397725170540984E-2</c:v>
                </c:pt>
                <c:pt idx="13">
                  <c:v>-9.2271148449847323E-2</c:v>
                </c:pt>
                <c:pt idx="14">
                  <c:v>-9.1469495885454222E-2</c:v>
                </c:pt>
                <c:pt idx="15">
                  <c:v>-9.1427303645223001E-2</c:v>
                </c:pt>
                <c:pt idx="16">
                  <c:v>-9.1300726924529341E-2</c:v>
                </c:pt>
                <c:pt idx="17">
                  <c:v>-9.125853468429812E-2</c:v>
                </c:pt>
                <c:pt idx="18">
                  <c:v>-9.0963189002679606E-2</c:v>
                </c:pt>
                <c:pt idx="19">
                  <c:v>-9.0456882119905019E-2</c:v>
                </c:pt>
                <c:pt idx="20">
                  <c:v>-8.9866190756667991E-2</c:v>
                </c:pt>
                <c:pt idx="21">
                  <c:v>-8.9697421795743124E-2</c:v>
                </c:pt>
                <c:pt idx="22">
                  <c:v>-8.9106730432506095E-2</c:v>
                </c:pt>
                <c:pt idx="23">
                  <c:v>-8.9022345952043669E-2</c:v>
                </c:pt>
                <c:pt idx="24">
                  <c:v>-6.7884033596204207E-2</c:v>
                </c:pt>
                <c:pt idx="25">
                  <c:v>-6.4635231098400553E-2</c:v>
                </c:pt>
                <c:pt idx="26">
                  <c:v>-6.4508654377706892E-2</c:v>
                </c:pt>
                <c:pt idx="27">
                  <c:v>-6.4086731975394745E-2</c:v>
                </c:pt>
                <c:pt idx="28">
                  <c:v>-6.4086731975394745E-2</c:v>
                </c:pt>
                <c:pt idx="29">
                  <c:v>-6.362261733285135E-2</c:v>
                </c:pt>
                <c:pt idx="30">
                  <c:v>-6.358042509262013E-2</c:v>
                </c:pt>
                <c:pt idx="31">
                  <c:v>-6.2441234606377294E-2</c:v>
                </c:pt>
                <c:pt idx="32">
                  <c:v>-6.235685012591486E-2</c:v>
                </c:pt>
                <c:pt idx="33">
                  <c:v>-6.0584776036203769E-2</c:v>
                </c:pt>
                <c:pt idx="34">
                  <c:v>-5.6492128733775779E-2</c:v>
                </c:pt>
                <c:pt idx="35">
                  <c:v>-5.4931015845220768E-2</c:v>
                </c:pt>
                <c:pt idx="36">
                  <c:v>-5.4382516722214953E-2</c:v>
                </c:pt>
                <c:pt idx="37">
                  <c:v>-5.3116749515278457E-2</c:v>
                </c:pt>
                <c:pt idx="38">
                  <c:v>-5.2863596073891156E-2</c:v>
                </c:pt>
                <c:pt idx="39">
                  <c:v>-5.1640021107185879E-2</c:v>
                </c:pt>
                <c:pt idx="40">
                  <c:v>-4.9530409095625061E-2</c:v>
                </c:pt>
                <c:pt idx="41">
                  <c:v>-4.775833500591397E-2</c:v>
                </c:pt>
                <c:pt idx="42">
                  <c:v>-3.9530848160826762E-2</c:v>
                </c:pt>
                <c:pt idx="43">
                  <c:v>-3.7168082707878636E-2</c:v>
                </c:pt>
                <c:pt idx="44">
                  <c:v>-3.2737897483600911E-2</c:v>
                </c:pt>
                <c:pt idx="45">
                  <c:v>-3.206282163990145E-2</c:v>
                </c:pt>
                <c:pt idx="46">
                  <c:v>-3.1809668198514149E-2</c:v>
                </c:pt>
                <c:pt idx="47">
                  <c:v>-3.0923631153658603E-2</c:v>
                </c:pt>
                <c:pt idx="48">
                  <c:v>-2.7717020896086152E-2</c:v>
                </c:pt>
                <c:pt idx="49">
                  <c:v>-2.442602615805127E-2</c:v>
                </c:pt>
                <c:pt idx="50">
                  <c:v>-2.3877527035045455E-2</c:v>
                </c:pt>
                <c:pt idx="51">
                  <c:v>-2.3371220152270857E-2</c:v>
                </c:pt>
                <c:pt idx="52">
                  <c:v>-2.2358606386721661E-2</c:v>
                </c:pt>
                <c:pt idx="53">
                  <c:v>-2.2105452945334364E-2</c:v>
                </c:pt>
                <c:pt idx="54">
                  <c:v>-2.2105452945334364E-2</c:v>
                </c:pt>
                <c:pt idx="55">
                  <c:v>-2.1852299503947063E-2</c:v>
                </c:pt>
                <c:pt idx="56">
                  <c:v>-2.1092839179785168E-2</c:v>
                </c:pt>
                <c:pt idx="57">
                  <c:v>-2.0164609894698406E-2</c:v>
                </c:pt>
                <c:pt idx="58">
                  <c:v>-2.0164609894698406E-2</c:v>
                </c:pt>
                <c:pt idx="59">
                  <c:v>-2.0122417654467189E-2</c:v>
                </c:pt>
                <c:pt idx="60">
                  <c:v>-1.915199612914921E-2</c:v>
                </c:pt>
                <c:pt idx="61">
                  <c:v>-1.8645689246374615E-2</c:v>
                </c:pt>
                <c:pt idx="62">
                  <c:v>-1.788622892221272E-2</c:v>
                </c:pt>
                <c:pt idx="63">
                  <c:v>-1.7801844441750286E-2</c:v>
                </c:pt>
                <c:pt idx="64">
                  <c:v>-1.6156347072732842E-2</c:v>
                </c:pt>
                <c:pt idx="65">
                  <c:v>-1.4426465223252968E-2</c:v>
                </c:pt>
                <c:pt idx="66">
                  <c:v>-1.4299888502559319E-2</c:v>
                </c:pt>
                <c:pt idx="67">
                  <c:v>-1.4215504022096885E-2</c:v>
                </c:pt>
                <c:pt idx="68">
                  <c:v>-1.3793581619784721E-2</c:v>
                </c:pt>
                <c:pt idx="69">
                  <c:v>-1.2907544574929175E-2</c:v>
                </c:pt>
                <c:pt idx="70">
                  <c:v>-1.2063699770304848E-2</c:v>
                </c:pt>
                <c:pt idx="71">
                  <c:v>-1.2042603650189238E-2</c:v>
                </c:pt>
                <c:pt idx="72">
                  <c:v>-1.1958219169726805E-2</c:v>
                </c:pt>
                <c:pt idx="73">
                  <c:v>-1.1937123049611198E-2</c:v>
                </c:pt>
                <c:pt idx="74">
                  <c:v>-1.1894930809379981E-2</c:v>
                </c:pt>
                <c:pt idx="75">
                  <c:v>-1.1894930809379981E-2</c:v>
                </c:pt>
                <c:pt idx="76">
                  <c:v>-5.1019801321541304E-3</c:v>
                </c:pt>
                <c:pt idx="77">
                  <c:v>-4.6083370672032192E-4</c:v>
                </c:pt>
                <c:pt idx="78">
                  <c:v>-2.9206474579545477E-4</c:v>
                </c:pt>
                <c:pt idx="79">
                  <c:v>5.8680023279621477E-3</c:v>
                </c:pt>
                <c:pt idx="80">
                  <c:v>8.9480358648409489E-3</c:v>
                </c:pt>
                <c:pt idx="81">
                  <c:v>1.8441289916864653E-2</c:v>
                </c:pt>
                <c:pt idx="82">
                  <c:v>2.4812318191778336E-2</c:v>
                </c:pt>
                <c:pt idx="83">
                  <c:v>2.7850159488425917E-2</c:v>
                </c:pt>
                <c:pt idx="84">
                  <c:v>2.88205810137439E-2</c:v>
                </c:pt>
                <c:pt idx="85">
                  <c:v>2.9200311175824847E-2</c:v>
                </c:pt>
                <c:pt idx="86">
                  <c:v>3.0001963740217963E-2</c:v>
                </c:pt>
                <c:pt idx="87">
                  <c:v>3.5908877372588265E-2</c:v>
                </c:pt>
                <c:pt idx="88">
                  <c:v>3.7259029059987188E-2</c:v>
                </c:pt>
                <c:pt idx="89">
                  <c:v>4.5106785742993448E-2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849-48C1-8429-C5D1E0F1D2A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2">
                  <c:v>3.1477919999961159</c:v>
                </c:pt>
                <c:pt idx="56">
                  <c:v>3.1656719999955385</c:v>
                </c:pt>
                <c:pt idx="70">
                  <c:v>-2.5327840000027209</c:v>
                </c:pt>
                <c:pt idx="71">
                  <c:v>1.8377639999962412</c:v>
                </c:pt>
                <c:pt idx="72">
                  <c:v>1.379955999997037</c:v>
                </c:pt>
                <c:pt idx="73">
                  <c:v>1.8195039999918663</c:v>
                </c:pt>
                <c:pt idx="74">
                  <c:v>-1.460400000003574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849-48C1-8429-C5D1E0F1D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752816"/>
        <c:axId val="1"/>
      </c:scatterChart>
      <c:valAx>
        <c:axId val="471752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793701509457122"/>
              <c:y val="0.85580068949061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2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383768913342505E-2"/>
              <c:y val="0.35109783690831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75281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2530949105914714E-2"/>
          <c:y val="0.91849661425550644"/>
          <c:w val="0.7317748486391058"/>
          <c:h val="6.26959247648902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Per - O-C Diagr.</a:t>
            </a:r>
          </a:p>
        </c:rich>
      </c:tx>
      <c:layout>
        <c:manualLayout>
          <c:xMode val="edge"/>
          <c:yMode val="edge"/>
          <c:x val="0.40968147576594249"/>
          <c:y val="3.43750000000000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838293493518889E-2"/>
          <c:y val="0.15312500000000001"/>
          <c:w val="0.87839483931963414"/>
          <c:h val="0.618750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4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23-46F4-81B7-CFD2FF90163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</c:f>
              <c:numCache>
                <c:formatCode>General</c:formatCode>
                <c:ptCount val="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5">
                  <c:v>3.0979439999937313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23-46F4-81B7-CFD2FF901639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83">
                  <c:v>2.6031999994302168E-2</c:v>
                </c:pt>
                <c:pt idx="84">
                  <c:v>1.9139999996696133E-2</c:v>
                </c:pt>
                <c:pt idx="85">
                  <c:v>2.0104000002902467E-2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23-46F4-81B7-CFD2FF90163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0.47229599999627681</c:v>
                </c:pt>
                <c:pt idx="1">
                  <c:v>0.51429599999573838</c:v>
                </c:pt>
                <c:pt idx="2">
                  <c:v>0.53456000000005588</c:v>
                </c:pt>
                <c:pt idx="3">
                  <c:v>0.49009599999772036</c:v>
                </c:pt>
                <c:pt idx="4">
                  <c:v>0.38799199999812117</c:v>
                </c:pt>
                <c:pt idx="5">
                  <c:v>0.11684799999784445</c:v>
                </c:pt>
                <c:pt idx="6">
                  <c:v>2.3343999997450737E-2</c:v>
                </c:pt>
                <c:pt idx="7">
                  <c:v>0.22826399999576097</c:v>
                </c:pt>
                <c:pt idx="8">
                  <c:v>0.8508399999991525</c:v>
                </c:pt>
                <c:pt idx="9">
                  <c:v>0.59795199999643955</c:v>
                </c:pt>
                <c:pt idx="10">
                  <c:v>0.40804799999750685</c:v>
                </c:pt>
                <c:pt idx="11">
                  <c:v>0.17814399999770103</c:v>
                </c:pt>
                <c:pt idx="12">
                  <c:v>0.50243199999749777</c:v>
                </c:pt>
                <c:pt idx="13">
                  <c:v>0.83271999999851687</c:v>
                </c:pt>
                <c:pt idx="14">
                  <c:v>0.2955439999968803</c:v>
                </c:pt>
                <c:pt idx="15">
                  <c:v>6.6399999959685374E-3</c:v>
                </c:pt>
                <c:pt idx="16">
                  <c:v>0.33392799999637646</c:v>
                </c:pt>
                <c:pt idx="17">
                  <c:v>0.24702399999659974</c:v>
                </c:pt>
                <c:pt idx="18">
                  <c:v>0.68669600000066566</c:v>
                </c:pt>
                <c:pt idx="19">
                  <c:v>0.51984799999627285</c:v>
                </c:pt>
                <c:pt idx="20">
                  <c:v>0.44219199999861303</c:v>
                </c:pt>
                <c:pt idx="21">
                  <c:v>0.44257599999764352</c:v>
                </c:pt>
                <c:pt idx="22">
                  <c:v>0.44491999999809195</c:v>
                </c:pt>
                <c:pt idx="23">
                  <c:v>0.42211199999655946</c:v>
                </c:pt>
                <c:pt idx="24">
                  <c:v>0.43120799999815063</c:v>
                </c:pt>
                <c:pt idx="25">
                  <c:v>0.3985999999968044</c:v>
                </c:pt>
                <c:pt idx="26">
                  <c:v>0.41388799999549519</c:v>
                </c:pt>
                <c:pt idx="27">
                  <c:v>0.43984799999452662</c:v>
                </c:pt>
                <c:pt idx="28">
                  <c:v>0.67384799999490497</c:v>
                </c:pt>
                <c:pt idx="29">
                  <c:v>0.40190399999846704</c:v>
                </c:pt>
                <c:pt idx="30">
                  <c:v>0.40499999999519787</c:v>
                </c:pt>
                <c:pt idx="31">
                  <c:v>0.3705919999993057</c:v>
                </c:pt>
                <c:pt idx="32">
                  <c:v>0.37678399999640533</c:v>
                </c:pt>
                <c:pt idx="33">
                  <c:v>0.38881599999513128</c:v>
                </c:pt>
                <c:pt idx="34">
                  <c:v>0.31512799999472918</c:v>
                </c:pt>
                <c:pt idx="35">
                  <c:v>0.32168000000092434</c:v>
                </c:pt>
                <c:pt idx="36">
                  <c:v>0.31692799999655108</c:v>
                </c:pt>
                <c:pt idx="37">
                  <c:v>0.30780799999411101</c:v>
                </c:pt>
                <c:pt idx="38">
                  <c:v>0.27738399999361718</c:v>
                </c:pt>
                <c:pt idx="39">
                  <c:v>0.28016799999750219</c:v>
                </c:pt>
                <c:pt idx="40">
                  <c:v>0.5709679999963555</c:v>
                </c:pt>
                <c:pt idx="41">
                  <c:v>0.21399999999630381</c:v>
                </c:pt>
                <c:pt idx="42">
                  <c:v>0.15372000000206754</c:v>
                </c:pt>
                <c:pt idx="43">
                  <c:v>0.10609599999588681</c:v>
                </c:pt>
                <c:pt idx="44">
                  <c:v>5.3175999993982259E-2</c:v>
                </c:pt>
                <c:pt idx="45">
                  <c:v>5.6711999997787643E-2</c:v>
                </c:pt>
                <c:pt idx="46">
                  <c:v>4.8287999990861863E-2</c:v>
                </c:pt>
                <c:pt idx="47">
                  <c:v>5.1303999993251637E-2</c:v>
                </c:pt>
                <c:pt idx="49">
                  <c:v>8.7999993411358446E-5</c:v>
                </c:pt>
                <c:pt idx="50">
                  <c:v>1.5335999996750616E-2</c:v>
                </c:pt>
                <c:pt idx="51">
                  <c:v>2.9487999992852565E-2</c:v>
                </c:pt>
                <c:pt idx="53">
                  <c:v>-9.6320000011473894E-3</c:v>
                </c:pt>
                <c:pt idx="54">
                  <c:v>-9.6320000011473894E-3</c:v>
                </c:pt>
                <c:pt idx="57">
                  <c:v>-5.21600000502076E-3</c:v>
                </c:pt>
                <c:pt idx="58">
                  <c:v>4.6783999991021119E-2</c:v>
                </c:pt>
                <c:pt idx="59">
                  <c:v>-5.1200000016251579E-3</c:v>
                </c:pt>
                <c:pt idx="60">
                  <c:v>3.1087999996088911E-2</c:v>
                </c:pt>
                <c:pt idx="61">
                  <c:v>-1.8760000006295741E-2</c:v>
                </c:pt>
                <c:pt idx="62">
                  <c:v>4.8967999995511491E-2</c:v>
                </c:pt>
                <c:pt idx="63">
                  <c:v>-5.8400000052643009E-3</c:v>
                </c:pt>
                <c:pt idx="64">
                  <c:v>2.6903999998467043E-2</c:v>
                </c:pt>
                <c:pt idx="65">
                  <c:v>-1.1160000001837034E-2</c:v>
                </c:pt>
                <c:pt idx="66">
                  <c:v>-3.8720000011380762E-3</c:v>
                </c:pt>
                <c:pt idx="67">
                  <c:v>1.6319999995175749E-2</c:v>
                </c:pt>
                <c:pt idx="68">
                  <c:v>-1.1720000002242159E-2</c:v>
                </c:pt>
                <c:pt idx="69">
                  <c:v>3.1295999993744772E-2</c:v>
                </c:pt>
                <c:pt idx="75">
                  <c:v>-1.1400000003050081E-2</c:v>
                </c:pt>
                <c:pt idx="76">
                  <c:v>-7.0944000006420538E-2</c:v>
                </c:pt>
                <c:pt idx="77">
                  <c:v>6.6159999987576157E-3</c:v>
                </c:pt>
                <c:pt idx="78">
                  <c:v>2.8299999990849756E-2</c:v>
                </c:pt>
                <c:pt idx="79">
                  <c:v>1.3015999997151084E-2</c:v>
                </c:pt>
                <c:pt idx="80">
                  <c:v>1.702399999339832E-2</c:v>
                </c:pt>
                <c:pt idx="81">
                  <c:v>1.3623999991978053E-2</c:v>
                </c:pt>
                <c:pt idx="82">
                  <c:v>-3.588000001036562E-2</c:v>
                </c:pt>
                <c:pt idx="86">
                  <c:v>2.5927999995474238E-2</c:v>
                </c:pt>
                <c:pt idx="87">
                  <c:v>5.2067999997234438E-2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23-46F4-81B7-CFD2FF90163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88">
                  <c:v>5.3439999996044207E-2</c:v>
                </c:pt>
                <c:pt idx="89">
                  <c:v>7.3195999997551553E-2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23-46F4-81B7-CFD2FF90163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23-46F4-81B7-CFD2FF90163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23-46F4-81B7-CFD2FF90163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-0.10784008509516621</c:v>
                </c:pt>
                <c:pt idx="1">
                  <c:v>-0.10784008509516621</c:v>
                </c:pt>
                <c:pt idx="2">
                  <c:v>-0.10640554892730483</c:v>
                </c:pt>
                <c:pt idx="3">
                  <c:v>-0.10045644305470333</c:v>
                </c:pt>
                <c:pt idx="4">
                  <c:v>-9.8304638802911293E-2</c:v>
                </c:pt>
                <c:pt idx="5">
                  <c:v>-9.5730912148807079E-2</c:v>
                </c:pt>
                <c:pt idx="6">
                  <c:v>-9.4633913902795463E-2</c:v>
                </c:pt>
                <c:pt idx="7">
                  <c:v>-9.3790069098171114E-2</c:v>
                </c:pt>
                <c:pt idx="8">
                  <c:v>-9.353691565678382E-2</c:v>
                </c:pt>
                <c:pt idx="9">
                  <c:v>-9.2608686371697058E-2</c:v>
                </c:pt>
                <c:pt idx="10">
                  <c:v>-9.2566494131465837E-2</c:v>
                </c:pt>
                <c:pt idx="11">
                  <c:v>-9.2524301891234617E-2</c:v>
                </c:pt>
                <c:pt idx="12">
                  <c:v>-9.2397725170540984E-2</c:v>
                </c:pt>
                <c:pt idx="13">
                  <c:v>-9.2271148449847323E-2</c:v>
                </c:pt>
                <c:pt idx="14">
                  <c:v>-9.1469495885454222E-2</c:v>
                </c:pt>
                <c:pt idx="15">
                  <c:v>-9.1427303645223001E-2</c:v>
                </c:pt>
                <c:pt idx="16">
                  <c:v>-9.1300726924529341E-2</c:v>
                </c:pt>
                <c:pt idx="17">
                  <c:v>-9.125853468429812E-2</c:v>
                </c:pt>
                <c:pt idx="18">
                  <c:v>-9.0963189002679606E-2</c:v>
                </c:pt>
                <c:pt idx="19">
                  <c:v>-9.0456882119905019E-2</c:v>
                </c:pt>
                <c:pt idx="20">
                  <c:v>-8.9866190756667991E-2</c:v>
                </c:pt>
                <c:pt idx="21">
                  <c:v>-8.9697421795743124E-2</c:v>
                </c:pt>
                <c:pt idx="22">
                  <c:v>-8.9106730432506095E-2</c:v>
                </c:pt>
                <c:pt idx="23">
                  <c:v>-8.9022345952043669E-2</c:v>
                </c:pt>
                <c:pt idx="24">
                  <c:v>-6.7884033596204207E-2</c:v>
                </c:pt>
                <c:pt idx="25">
                  <c:v>-6.4635231098400553E-2</c:v>
                </c:pt>
                <c:pt idx="26">
                  <c:v>-6.4508654377706892E-2</c:v>
                </c:pt>
                <c:pt idx="27">
                  <c:v>-6.4086731975394745E-2</c:v>
                </c:pt>
                <c:pt idx="28">
                  <c:v>-6.4086731975394745E-2</c:v>
                </c:pt>
                <c:pt idx="29">
                  <c:v>-6.362261733285135E-2</c:v>
                </c:pt>
                <c:pt idx="30">
                  <c:v>-6.358042509262013E-2</c:v>
                </c:pt>
                <c:pt idx="31">
                  <c:v>-6.2441234606377294E-2</c:v>
                </c:pt>
                <c:pt idx="32">
                  <c:v>-6.235685012591486E-2</c:v>
                </c:pt>
                <c:pt idx="33">
                  <c:v>-6.0584776036203769E-2</c:v>
                </c:pt>
                <c:pt idx="34">
                  <c:v>-5.6492128733775779E-2</c:v>
                </c:pt>
                <c:pt idx="35">
                  <c:v>-5.4931015845220768E-2</c:v>
                </c:pt>
                <c:pt idx="36">
                  <c:v>-5.4382516722214953E-2</c:v>
                </c:pt>
                <c:pt idx="37">
                  <c:v>-5.3116749515278457E-2</c:v>
                </c:pt>
                <c:pt idx="38">
                  <c:v>-5.2863596073891156E-2</c:v>
                </c:pt>
                <c:pt idx="39">
                  <c:v>-5.1640021107185879E-2</c:v>
                </c:pt>
                <c:pt idx="40">
                  <c:v>-4.9530409095625061E-2</c:v>
                </c:pt>
                <c:pt idx="41">
                  <c:v>-4.775833500591397E-2</c:v>
                </c:pt>
                <c:pt idx="42">
                  <c:v>-3.9530848160826762E-2</c:v>
                </c:pt>
                <c:pt idx="43">
                  <c:v>-3.7168082707878636E-2</c:v>
                </c:pt>
                <c:pt idx="44">
                  <c:v>-3.2737897483600911E-2</c:v>
                </c:pt>
                <c:pt idx="45">
                  <c:v>-3.206282163990145E-2</c:v>
                </c:pt>
                <c:pt idx="46">
                  <c:v>-3.1809668198514149E-2</c:v>
                </c:pt>
                <c:pt idx="47">
                  <c:v>-3.0923631153658603E-2</c:v>
                </c:pt>
                <c:pt idx="48">
                  <c:v>-2.7717020896086152E-2</c:v>
                </c:pt>
                <c:pt idx="49">
                  <c:v>-2.442602615805127E-2</c:v>
                </c:pt>
                <c:pt idx="50">
                  <c:v>-2.3877527035045455E-2</c:v>
                </c:pt>
                <c:pt idx="51">
                  <c:v>-2.3371220152270857E-2</c:v>
                </c:pt>
                <c:pt idx="52">
                  <c:v>-2.2358606386721661E-2</c:v>
                </c:pt>
                <c:pt idx="53">
                  <c:v>-2.2105452945334364E-2</c:v>
                </c:pt>
                <c:pt idx="54">
                  <c:v>-2.2105452945334364E-2</c:v>
                </c:pt>
                <c:pt idx="55">
                  <c:v>-2.1852299503947063E-2</c:v>
                </c:pt>
                <c:pt idx="56">
                  <c:v>-2.1092839179785168E-2</c:v>
                </c:pt>
                <c:pt idx="57">
                  <c:v>-2.0164609894698406E-2</c:v>
                </c:pt>
                <c:pt idx="58">
                  <c:v>-2.0164609894698406E-2</c:v>
                </c:pt>
                <c:pt idx="59">
                  <c:v>-2.0122417654467189E-2</c:v>
                </c:pt>
                <c:pt idx="60">
                  <c:v>-1.915199612914921E-2</c:v>
                </c:pt>
                <c:pt idx="61">
                  <c:v>-1.8645689246374615E-2</c:v>
                </c:pt>
                <c:pt idx="62">
                  <c:v>-1.788622892221272E-2</c:v>
                </c:pt>
                <c:pt idx="63">
                  <c:v>-1.7801844441750286E-2</c:v>
                </c:pt>
                <c:pt idx="64">
                  <c:v>-1.6156347072732842E-2</c:v>
                </c:pt>
                <c:pt idx="65">
                  <c:v>-1.4426465223252968E-2</c:v>
                </c:pt>
                <c:pt idx="66">
                  <c:v>-1.4299888502559319E-2</c:v>
                </c:pt>
                <c:pt idx="67">
                  <c:v>-1.4215504022096885E-2</c:v>
                </c:pt>
                <c:pt idx="68">
                  <c:v>-1.3793581619784721E-2</c:v>
                </c:pt>
                <c:pt idx="69">
                  <c:v>-1.2907544574929175E-2</c:v>
                </c:pt>
                <c:pt idx="70">
                  <c:v>-1.2063699770304848E-2</c:v>
                </c:pt>
                <c:pt idx="71">
                  <c:v>-1.2042603650189238E-2</c:v>
                </c:pt>
                <c:pt idx="72">
                  <c:v>-1.1958219169726805E-2</c:v>
                </c:pt>
                <c:pt idx="73">
                  <c:v>-1.1937123049611198E-2</c:v>
                </c:pt>
                <c:pt idx="74">
                  <c:v>-1.1894930809379981E-2</c:v>
                </c:pt>
                <c:pt idx="75">
                  <c:v>-1.1894930809379981E-2</c:v>
                </c:pt>
                <c:pt idx="76">
                  <c:v>-5.1019801321541304E-3</c:v>
                </c:pt>
                <c:pt idx="77">
                  <c:v>-4.6083370672032192E-4</c:v>
                </c:pt>
                <c:pt idx="78">
                  <c:v>-2.9206474579545477E-4</c:v>
                </c:pt>
                <c:pt idx="79">
                  <c:v>5.8680023279621477E-3</c:v>
                </c:pt>
                <c:pt idx="80">
                  <c:v>8.9480358648409489E-3</c:v>
                </c:pt>
                <c:pt idx="81">
                  <c:v>1.8441289916864653E-2</c:v>
                </c:pt>
                <c:pt idx="82">
                  <c:v>2.4812318191778336E-2</c:v>
                </c:pt>
                <c:pt idx="83">
                  <c:v>2.7850159488425917E-2</c:v>
                </c:pt>
                <c:pt idx="84">
                  <c:v>2.88205810137439E-2</c:v>
                </c:pt>
                <c:pt idx="85">
                  <c:v>2.9200311175824847E-2</c:v>
                </c:pt>
                <c:pt idx="86">
                  <c:v>3.0001963740217963E-2</c:v>
                </c:pt>
                <c:pt idx="87">
                  <c:v>3.5908877372588265E-2</c:v>
                </c:pt>
                <c:pt idx="88">
                  <c:v>3.7259029059987188E-2</c:v>
                </c:pt>
                <c:pt idx="89">
                  <c:v>4.5106785742993448E-2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23-46F4-81B7-CFD2FF90163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-1899</c:v>
                </c:pt>
                <c:pt idx="1">
                  <c:v>-1899</c:v>
                </c:pt>
                <c:pt idx="2">
                  <c:v>-1865</c:v>
                </c:pt>
                <c:pt idx="3">
                  <c:v>-1724</c:v>
                </c:pt>
                <c:pt idx="4">
                  <c:v>-1673</c:v>
                </c:pt>
                <c:pt idx="5">
                  <c:v>-1612</c:v>
                </c:pt>
                <c:pt idx="6">
                  <c:v>-1586</c:v>
                </c:pt>
                <c:pt idx="7">
                  <c:v>-1566</c:v>
                </c:pt>
                <c:pt idx="8">
                  <c:v>-1560</c:v>
                </c:pt>
                <c:pt idx="9">
                  <c:v>-1538</c:v>
                </c:pt>
                <c:pt idx="10">
                  <c:v>-1537</c:v>
                </c:pt>
                <c:pt idx="11">
                  <c:v>-1536</c:v>
                </c:pt>
                <c:pt idx="12">
                  <c:v>-1533</c:v>
                </c:pt>
                <c:pt idx="13">
                  <c:v>-1530</c:v>
                </c:pt>
                <c:pt idx="14">
                  <c:v>-1511</c:v>
                </c:pt>
                <c:pt idx="15">
                  <c:v>-1510</c:v>
                </c:pt>
                <c:pt idx="16">
                  <c:v>-1507</c:v>
                </c:pt>
                <c:pt idx="17">
                  <c:v>-1506</c:v>
                </c:pt>
                <c:pt idx="18">
                  <c:v>-1499</c:v>
                </c:pt>
                <c:pt idx="19">
                  <c:v>-1487</c:v>
                </c:pt>
                <c:pt idx="20">
                  <c:v>-1473</c:v>
                </c:pt>
                <c:pt idx="21">
                  <c:v>-1469</c:v>
                </c:pt>
                <c:pt idx="22">
                  <c:v>-1455</c:v>
                </c:pt>
                <c:pt idx="23">
                  <c:v>-1453</c:v>
                </c:pt>
                <c:pt idx="24">
                  <c:v>-952</c:v>
                </c:pt>
                <c:pt idx="25">
                  <c:v>-875</c:v>
                </c:pt>
                <c:pt idx="26">
                  <c:v>-872</c:v>
                </c:pt>
                <c:pt idx="27">
                  <c:v>-862</c:v>
                </c:pt>
                <c:pt idx="28">
                  <c:v>-862</c:v>
                </c:pt>
                <c:pt idx="29">
                  <c:v>-851</c:v>
                </c:pt>
                <c:pt idx="30">
                  <c:v>-850</c:v>
                </c:pt>
                <c:pt idx="31">
                  <c:v>-823</c:v>
                </c:pt>
                <c:pt idx="32">
                  <c:v>-821</c:v>
                </c:pt>
                <c:pt idx="33">
                  <c:v>-779</c:v>
                </c:pt>
                <c:pt idx="34">
                  <c:v>-682</c:v>
                </c:pt>
                <c:pt idx="35">
                  <c:v>-645</c:v>
                </c:pt>
                <c:pt idx="36">
                  <c:v>-632</c:v>
                </c:pt>
                <c:pt idx="37">
                  <c:v>-602</c:v>
                </c:pt>
                <c:pt idx="38">
                  <c:v>-596</c:v>
                </c:pt>
                <c:pt idx="39">
                  <c:v>-567</c:v>
                </c:pt>
                <c:pt idx="40">
                  <c:v>-517</c:v>
                </c:pt>
                <c:pt idx="41">
                  <c:v>-475</c:v>
                </c:pt>
                <c:pt idx="42">
                  <c:v>-280</c:v>
                </c:pt>
                <c:pt idx="43">
                  <c:v>-224</c:v>
                </c:pt>
                <c:pt idx="44">
                  <c:v>-119</c:v>
                </c:pt>
                <c:pt idx="45">
                  <c:v>-103</c:v>
                </c:pt>
                <c:pt idx="46">
                  <c:v>-97</c:v>
                </c:pt>
                <c:pt idx="47">
                  <c:v>-76</c:v>
                </c:pt>
                <c:pt idx="48">
                  <c:v>0</c:v>
                </c:pt>
                <c:pt idx="49">
                  <c:v>78</c:v>
                </c:pt>
                <c:pt idx="50">
                  <c:v>91</c:v>
                </c:pt>
                <c:pt idx="51">
                  <c:v>103</c:v>
                </c:pt>
                <c:pt idx="52">
                  <c:v>127</c:v>
                </c:pt>
                <c:pt idx="53">
                  <c:v>133</c:v>
                </c:pt>
                <c:pt idx="54">
                  <c:v>133</c:v>
                </c:pt>
                <c:pt idx="55">
                  <c:v>139</c:v>
                </c:pt>
                <c:pt idx="56">
                  <c:v>157</c:v>
                </c:pt>
                <c:pt idx="57">
                  <c:v>179</c:v>
                </c:pt>
                <c:pt idx="58">
                  <c:v>179</c:v>
                </c:pt>
                <c:pt idx="59">
                  <c:v>180</c:v>
                </c:pt>
                <c:pt idx="60">
                  <c:v>203</c:v>
                </c:pt>
                <c:pt idx="61">
                  <c:v>215</c:v>
                </c:pt>
                <c:pt idx="62">
                  <c:v>233</c:v>
                </c:pt>
                <c:pt idx="63">
                  <c:v>235</c:v>
                </c:pt>
                <c:pt idx="64">
                  <c:v>274</c:v>
                </c:pt>
                <c:pt idx="65">
                  <c:v>315</c:v>
                </c:pt>
                <c:pt idx="66">
                  <c:v>318</c:v>
                </c:pt>
                <c:pt idx="67">
                  <c:v>320</c:v>
                </c:pt>
                <c:pt idx="68">
                  <c:v>330</c:v>
                </c:pt>
                <c:pt idx="69">
                  <c:v>351</c:v>
                </c:pt>
                <c:pt idx="70">
                  <c:v>371</c:v>
                </c:pt>
                <c:pt idx="71">
                  <c:v>371.5</c:v>
                </c:pt>
                <c:pt idx="72">
                  <c:v>373.5</c:v>
                </c:pt>
                <c:pt idx="73">
                  <c:v>374</c:v>
                </c:pt>
                <c:pt idx="74">
                  <c:v>375</c:v>
                </c:pt>
                <c:pt idx="75">
                  <c:v>375</c:v>
                </c:pt>
                <c:pt idx="76">
                  <c:v>536</c:v>
                </c:pt>
                <c:pt idx="77">
                  <c:v>646</c:v>
                </c:pt>
                <c:pt idx="78">
                  <c:v>650</c:v>
                </c:pt>
                <c:pt idx="79">
                  <c:v>796</c:v>
                </c:pt>
                <c:pt idx="80">
                  <c:v>869</c:v>
                </c:pt>
                <c:pt idx="81">
                  <c:v>1094</c:v>
                </c:pt>
                <c:pt idx="82">
                  <c:v>1245</c:v>
                </c:pt>
                <c:pt idx="83">
                  <c:v>1317</c:v>
                </c:pt>
                <c:pt idx="84">
                  <c:v>1340</c:v>
                </c:pt>
                <c:pt idx="85">
                  <c:v>1349</c:v>
                </c:pt>
                <c:pt idx="86">
                  <c:v>1368</c:v>
                </c:pt>
                <c:pt idx="87">
                  <c:v>1508</c:v>
                </c:pt>
                <c:pt idx="88">
                  <c:v>1540</c:v>
                </c:pt>
                <c:pt idx="89">
                  <c:v>1726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2">
                  <c:v>3.1477919999961159</c:v>
                </c:pt>
                <c:pt idx="56">
                  <c:v>3.1656719999955385</c:v>
                </c:pt>
                <c:pt idx="70">
                  <c:v>-2.5327840000027209</c:v>
                </c:pt>
                <c:pt idx="71">
                  <c:v>1.8377639999962412</c:v>
                </c:pt>
                <c:pt idx="72">
                  <c:v>1.379955999997037</c:v>
                </c:pt>
                <c:pt idx="73">
                  <c:v>1.8195039999918663</c:v>
                </c:pt>
                <c:pt idx="74">
                  <c:v>-1.460400000003574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23-46F4-81B7-CFD2FF901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1751176"/>
        <c:axId val="1"/>
      </c:scatterChart>
      <c:valAx>
        <c:axId val="471751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878419123229427"/>
              <c:y val="0.85624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070838252656435E-2"/>
              <c:y val="0.3531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17511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68832408345651"/>
          <c:y val="0.91874999999999996"/>
          <c:w val="0.62809954540806368"/>
          <c:h val="6.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16</xdr:col>
      <xdr:colOff>180975</xdr:colOff>
      <xdr:row>17</xdr:row>
      <xdr:rowOff>152400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66EEFC48-A322-1246-9475-70958E159B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257175</xdr:colOff>
      <xdr:row>0</xdr:row>
      <xdr:rowOff>47625</xdr:rowOff>
    </xdr:from>
    <xdr:to>
      <xdr:col>26</xdr:col>
      <xdr:colOff>381000</xdr:colOff>
      <xdr:row>17</xdr:row>
      <xdr:rowOff>123825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EBA5E14C-8208-65D4-B6E0-BBD900B0A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1121" TargetMode="External"/><Relationship Id="rId13" Type="http://schemas.openxmlformats.org/officeDocument/2006/relationships/hyperlink" Target="http://www.konkoly.hu/cgi-bin/IBVS?972" TargetMode="External"/><Relationship Id="rId18" Type="http://schemas.openxmlformats.org/officeDocument/2006/relationships/hyperlink" Target="http://www.bav-astro.de/sfs/BAVM_link.php?BAVMnr=36" TargetMode="External"/><Relationship Id="rId26" Type="http://schemas.openxmlformats.org/officeDocument/2006/relationships/hyperlink" Target="http://vsolj.cetus-net.org/vsoljno56.pdf" TargetMode="External"/><Relationship Id="rId3" Type="http://schemas.openxmlformats.org/officeDocument/2006/relationships/hyperlink" Target="http://www.konkoly.hu/cgi-bin/IBVS?1121" TargetMode="External"/><Relationship Id="rId21" Type="http://schemas.openxmlformats.org/officeDocument/2006/relationships/hyperlink" Target="http://www.bav-astro.de/sfs/BAVM_link.php?BAVMnr=174" TargetMode="External"/><Relationship Id="rId7" Type="http://schemas.openxmlformats.org/officeDocument/2006/relationships/hyperlink" Target="http://www.konkoly.hu/cgi-bin/IBVS?1121" TargetMode="External"/><Relationship Id="rId12" Type="http://schemas.openxmlformats.org/officeDocument/2006/relationships/hyperlink" Target="http://www.konkoly.hu/cgi-bin/IBVS?1121" TargetMode="External"/><Relationship Id="rId17" Type="http://schemas.openxmlformats.org/officeDocument/2006/relationships/hyperlink" Target="http://www.konkoly.hu/cgi-bin/IBVS?1121" TargetMode="External"/><Relationship Id="rId25" Type="http://schemas.openxmlformats.org/officeDocument/2006/relationships/hyperlink" Target="http://vsolj.cetus-net.org/no48.pdf" TargetMode="External"/><Relationship Id="rId2" Type="http://schemas.openxmlformats.org/officeDocument/2006/relationships/hyperlink" Target="http://www.konkoly.hu/cgi-bin/IBVS?1121" TargetMode="External"/><Relationship Id="rId16" Type="http://schemas.openxmlformats.org/officeDocument/2006/relationships/hyperlink" Target="http://www.konkoly.hu/cgi-bin/IBVS?1121" TargetMode="External"/><Relationship Id="rId20" Type="http://schemas.openxmlformats.org/officeDocument/2006/relationships/hyperlink" Target="http://www.bav-astro.de/sfs/BAVM_link.php?BAVMnr=122" TargetMode="External"/><Relationship Id="rId1" Type="http://schemas.openxmlformats.org/officeDocument/2006/relationships/hyperlink" Target="http://www.konkoly.hu/cgi-bin/IBVS?1121" TargetMode="External"/><Relationship Id="rId6" Type="http://schemas.openxmlformats.org/officeDocument/2006/relationships/hyperlink" Target="http://www.konkoly.hu/cgi-bin/IBVS?910" TargetMode="External"/><Relationship Id="rId11" Type="http://schemas.openxmlformats.org/officeDocument/2006/relationships/hyperlink" Target="http://www.konkoly.hu/cgi-bin/IBVS?1121" TargetMode="External"/><Relationship Id="rId24" Type="http://schemas.openxmlformats.org/officeDocument/2006/relationships/hyperlink" Target="http://www.bav-astro.de/sfs/BAVM_link.php?BAVMnr=201" TargetMode="External"/><Relationship Id="rId5" Type="http://schemas.openxmlformats.org/officeDocument/2006/relationships/hyperlink" Target="http://www.konkoly.hu/cgi-bin/IBVS?1121" TargetMode="External"/><Relationship Id="rId15" Type="http://schemas.openxmlformats.org/officeDocument/2006/relationships/hyperlink" Target="http://www.konkoly.hu/cgi-bin/IBVS?1121" TargetMode="External"/><Relationship Id="rId23" Type="http://schemas.openxmlformats.org/officeDocument/2006/relationships/hyperlink" Target="http://www.konkoly.hu/cgi-bin/IBVS?6007" TargetMode="External"/><Relationship Id="rId10" Type="http://schemas.openxmlformats.org/officeDocument/2006/relationships/hyperlink" Target="http://www.konkoly.hu/cgi-bin/IBVS?910" TargetMode="External"/><Relationship Id="rId19" Type="http://schemas.openxmlformats.org/officeDocument/2006/relationships/hyperlink" Target="http://www.konkoly.hu/cgi-bin/IBVS?3355" TargetMode="External"/><Relationship Id="rId4" Type="http://schemas.openxmlformats.org/officeDocument/2006/relationships/hyperlink" Target="http://www.konkoly.hu/cgi-bin/IBVS?910" TargetMode="External"/><Relationship Id="rId9" Type="http://schemas.openxmlformats.org/officeDocument/2006/relationships/hyperlink" Target="http://www.konkoly.hu/cgi-bin/IBVS?1121" TargetMode="External"/><Relationship Id="rId14" Type="http://schemas.openxmlformats.org/officeDocument/2006/relationships/hyperlink" Target="http://www.konkoly.hu/cgi-bin/IBVS?1121" TargetMode="External"/><Relationship Id="rId22" Type="http://schemas.openxmlformats.org/officeDocument/2006/relationships/hyperlink" Target="http://www.konkoly.hu/cgi-bin/IBVS?6007" TargetMode="External"/><Relationship Id="rId27" Type="http://schemas.openxmlformats.org/officeDocument/2006/relationships/hyperlink" Target="http://var.astro.cz/oejv/issues/oejv017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64"/>
  <sheetViews>
    <sheetView tabSelected="1" workbookViewId="0">
      <pane xSplit="12" ySplit="22" topLeftCell="M96" activePane="bottomRight" state="frozen"/>
      <selection pane="topRight" activeCell="M1" sqref="M1"/>
      <selection pane="bottomLeft" activeCell="A23" sqref="A23"/>
      <selection pane="bottomRight" activeCell="E9" sqref="E9"/>
    </sheetView>
  </sheetViews>
  <sheetFormatPr defaultRowHeight="12.75" x14ac:dyDescent="0.2"/>
  <cols>
    <col min="1" max="1" width="13.5703125" style="1" customWidth="1"/>
    <col min="2" max="2" width="4.5703125" style="1" customWidth="1"/>
    <col min="3" max="3" width="13.28515625" style="1" customWidth="1"/>
    <col min="4" max="4" width="8.42578125" style="1" customWidth="1"/>
    <col min="5" max="5" width="9.85546875" style="1" customWidth="1"/>
    <col min="6" max="6" width="16.85546875" style="1" customWidth="1"/>
    <col min="7" max="7" width="9.5703125" style="1" customWidth="1"/>
    <col min="8" max="8" width="9.140625" style="1"/>
    <col min="9" max="9" width="10.42578125" style="1" customWidth="1"/>
    <col min="10" max="10" width="10.5703125" style="1" customWidth="1"/>
    <col min="11" max="14" width="11.28515625" style="1" customWidth="1"/>
    <col min="15" max="15" width="9.140625" style="1"/>
    <col min="16" max="16" width="8.42578125" style="1" customWidth="1"/>
    <col min="17" max="17" width="10.7109375" style="1" customWidth="1"/>
    <col min="19" max="16384" width="9.140625" style="1"/>
  </cols>
  <sheetData>
    <row r="1" spans="1:18" ht="20.25" x14ac:dyDescent="0.3">
      <c r="A1" s="8" t="s">
        <v>41</v>
      </c>
    </row>
    <row r="2" spans="1:18" s="45" customFormat="1" ht="12.95" customHeight="1" x14ac:dyDescent="0.2">
      <c r="A2" s="44" t="s">
        <v>16</v>
      </c>
      <c r="B2" s="45" t="s">
        <v>27</v>
      </c>
      <c r="R2" s="46"/>
    </row>
    <row r="3" spans="1:18" s="45" customFormat="1" ht="12.95" customHeight="1" thickBot="1" x14ac:dyDescent="0.25">
      <c r="A3" s="44"/>
      <c r="C3" s="47"/>
      <c r="D3" s="47"/>
      <c r="R3" s="46"/>
    </row>
    <row r="4" spans="1:18" s="45" customFormat="1" ht="12.95" customHeight="1" thickBot="1" x14ac:dyDescent="0.25">
      <c r="A4" s="48" t="s">
        <v>17</v>
      </c>
      <c r="B4" s="49"/>
      <c r="C4" s="50">
        <v>36701.085400000004</v>
      </c>
      <c r="D4" s="51">
        <v>13.198904000000001</v>
      </c>
      <c r="E4" s="52"/>
      <c r="R4" s="46"/>
    </row>
    <row r="5" spans="1:18" s="45" customFormat="1" ht="12.95" customHeight="1" x14ac:dyDescent="0.2">
      <c r="A5" s="53" t="s">
        <v>42</v>
      </c>
      <c r="B5" s="44"/>
      <c r="C5" s="54">
        <v>-9.5</v>
      </c>
      <c r="D5" s="44" t="s">
        <v>43</v>
      </c>
      <c r="R5" s="46"/>
    </row>
    <row r="6" spans="1:18" s="45" customFormat="1" ht="12.95" customHeight="1" x14ac:dyDescent="0.2">
      <c r="A6" s="48" t="s">
        <v>18</v>
      </c>
      <c r="R6" s="46"/>
    </row>
    <row r="7" spans="1:18" s="45" customFormat="1" ht="12.95" customHeight="1" x14ac:dyDescent="0.2">
      <c r="A7" s="44" t="s">
        <v>0</v>
      </c>
      <c r="C7" s="45">
        <f>C4</f>
        <v>36701.085400000004</v>
      </c>
      <c r="R7" s="46"/>
    </row>
    <row r="8" spans="1:18" s="45" customFormat="1" ht="12.95" customHeight="1" x14ac:dyDescent="0.2">
      <c r="A8" s="44" t="s">
        <v>9</v>
      </c>
      <c r="C8" s="45">
        <f>D4</f>
        <v>13.198904000000001</v>
      </c>
      <c r="R8" s="46"/>
    </row>
    <row r="9" spans="1:18" s="45" customFormat="1" ht="12.95" customHeight="1" x14ac:dyDescent="0.2">
      <c r="A9" s="55" t="s">
        <v>48</v>
      </c>
      <c r="B9" s="56">
        <v>90</v>
      </c>
      <c r="C9" s="57" t="str">
        <f>"F"&amp;B9</f>
        <v>F90</v>
      </c>
      <c r="D9" s="58" t="str">
        <f>"G"&amp;B9</f>
        <v>G90</v>
      </c>
      <c r="F9" s="44"/>
      <c r="G9" s="44"/>
      <c r="H9" s="44"/>
      <c r="R9" s="46"/>
    </row>
    <row r="10" spans="1:18" s="45" customFormat="1" ht="12.95" customHeight="1" thickBot="1" x14ac:dyDescent="0.25">
      <c r="A10" s="44"/>
      <c r="B10" s="44"/>
      <c r="C10" s="59" t="s">
        <v>23</v>
      </c>
      <c r="D10" s="59" t="s">
        <v>24</v>
      </c>
      <c r="E10" s="44"/>
      <c r="F10" s="44"/>
      <c r="G10" s="44"/>
      <c r="H10" s="44"/>
      <c r="R10" s="46"/>
    </row>
    <row r="11" spans="1:18" s="45" customFormat="1" ht="12.95" customHeight="1" x14ac:dyDescent="0.2">
      <c r="A11" s="44" t="s">
        <v>19</v>
      </c>
      <c r="B11" s="44"/>
      <c r="C11" s="58">
        <f ca="1">INTERCEPT(INDIRECT($D$9):G992,INDIRECT($C$9):F992)</f>
        <v>-2.7717020896086152E-2</v>
      </c>
      <c r="D11" s="60"/>
      <c r="E11" s="44"/>
      <c r="H11" s="44"/>
      <c r="R11" s="46"/>
    </row>
    <row r="12" spans="1:18" s="45" customFormat="1" ht="12.95" customHeight="1" x14ac:dyDescent="0.2">
      <c r="A12" s="44" t="s">
        <v>20</v>
      </c>
      <c r="B12" s="44"/>
      <c r="C12" s="58">
        <f ca="1">SLOPE(INDIRECT($D$9):G992,INDIRECT($C$9):F992)</f>
        <v>4.2192240231216456E-5</v>
      </c>
      <c r="D12" s="60"/>
      <c r="E12" s="44"/>
      <c r="F12" s="44"/>
      <c r="G12" s="44"/>
      <c r="H12" s="44"/>
      <c r="R12" s="46"/>
    </row>
    <row r="13" spans="1:18" s="45" customFormat="1" ht="12.95" customHeight="1" x14ac:dyDescent="0.2">
      <c r="A13" s="44" t="s">
        <v>21</v>
      </c>
      <c r="B13" s="44"/>
      <c r="C13" s="60" t="s">
        <v>44</v>
      </c>
      <c r="F13" s="44"/>
      <c r="G13" s="44"/>
      <c r="H13" s="44"/>
      <c r="R13" s="46"/>
    </row>
    <row r="14" spans="1:18" s="45" customFormat="1" ht="12.95" customHeight="1" x14ac:dyDescent="0.2">
      <c r="A14" s="44"/>
      <c r="B14" s="44"/>
      <c r="C14" s="44"/>
      <c r="F14" s="44"/>
      <c r="G14" s="44"/>
      <c r="H14" s="44"/>
      <c r="R14" s="46"/>
    </row>
    <row r="15" spans="1:18" s="45" customFormat="1" ht="12.95" customHeight="1" x14ac:dyDescent="0.2">
      <c r="A15" s="61" t="s">
        <v>22</v>
      </c>
      <c r="B15" s="44"/>
      <c r="C15" s="62">
        <f ca="1">(C7+C11)+(C8+C12)*INT(MAX(F21:F3533))</f>
        <v>59482.438810785752</v>
      </c>
      <c r="E15" s="63" t="s">
        <v>51</v>
      </c>
      <c r="F15" s="54">
        <v>1</v>
      </c>
      <c r="G15" s="44"/>
      <c r="H15" s="44"/>
      <c r="R15" s="46"/>
    </row>
    <row r="16" spans="1:18" s="45" customFormat="1" ht="12.95" customHeight="1" x14ac:dyDescent="0.2">
      <c r="A16" s="48" t="s">
        <v>7</v>
      </c>
      <c r="B16" s="44"/>
      <c r="C16" s="64">
        <f ca="1">+C8+C12</f>
        <v>13.198946192240232</v>
      </c>
      <c r="E16" s="63" t="s">
        <v>45</v>
      </c>
      <c r="F16" s="65">
        <f ca="1">NOW()+15018.5+$C$5/24</f>
        <v>60372.766775810182</v>
      </c>
      <c r="G16" s="44"/>
      <c r="H16" s="44"/>
      <c r="R16" s="46"/>
    </row>
    <row r="17" spans="1:21" s="45" customFormat="1" ht="12.95" customHeight="1" thickBot="1" x14ac:dyDescent="0.25">
      <c r="A17" s="63" t="s">
        <v>40</v>
      </c>
      <c r="B17" s="44"/>
      <c r="C17" s="44">
        <f>COUNT(C21:C2191)</f>
        <v>90</v>
      </c>
      <c r="E17" s="63" t="s">
        <v>52</v>
      </c>
      <c r="F17" s="65">
        <f ca="1">ROUND(2*(F16-$C$7)/$C$8,0)/2+F15</f>
        <v>1794.5</v>
      </c>
      <c r="G17" s="44"/>
      <c r="H17" s="44"/>
      <c r="R17" s="46"/>
    </row>
    <row r="18" spans="1:21" s="45" customFormat="1" ht="12.95" customHeight="1" thickTop="1" thickBot="1" x14ac:dyDescent="0.25">
      <c r="A18" s="48" t="s">
        <v>6</v>
      </c>
      <c r="B18" s="44"/>
      <c r="C18" s="66">
        <f ca="1">+C15</f>
        <v>59482.438810785752</v>
      </c>
      <c r="D18" s="67">
        <f ca="1">+C16</f>
        <v>13.198946192240232</v>
      </c>
      <c r="E18" s="63" t="s">
        <v>46</v>
      </c>
      <c r="F18" s="58">
        <f ca="1">ROUND(2*(F16-$C$15)/$C$16,0)/2+F15</f>
        <v>68.5</v>
      </c>
      <c r="G18" s="44"/>
      <c r="H18" s="44"/>
      <c r="R18" s="46"/>
    </row>
    <row r="19" spans="1:21" s="45" customFormat="1" ht="12.95" customHeight="1" thickTop="1" x14ac:dyDescent="0.2">
      <c r="E19" s="63" t="s">
        <v>47</v>
      </c>
      <c r="F19" s="68">
        <f ca="1">+$C$15+$C$16*F18-15018.5-$C$5/24</f>
        <v>45368.46245828754</v>
      </c>
      <c r="G19" s="44"/>
      <c r="H19" s="44"/>
      <c r="I19" s="45" t="s">
        <v>13</v>
      </c>
      <c r="J19" s="45" t="s">
        <v>14</v>
      </c>
      <c r="R19" s="46"/>
    </row>
    <row r="20" spans="1:21" s="45" customFormat="1" ht="12.95" customHeight="1" thickBot="1" x14ac:dyDescent="0.25">
      <c r="A20" s="69" t="s">
        <v>10</v>
      </c>
      <c r="B20" s="69" t="s">
        <v>12</v>
      </c>
      <c r="C20" s="69" t="s">
        <v>11</v>
      </c>
      <c r="D20" s="69" t="s">
        <v>1</v>
      </c>
      <c r="E20" s="69" t="s">
        <v>5</v>
      </c>
      <c r="F20" s="69" t="s">
        <v>4</v>
      </c>
      <c r="G20" s="69" t="s">
        <v>8</v>
      </c>
      <c r="H20" s="70" t="s">
        <v>2</v>
      </c>
      <c r="I20" s="70" t="s">
        <v>53</v>
      </c>
      <c r="J20" s="70" t="s">
        <v>358</v>
      </c>
      <c r="K20" s="70" t="s">
        <v>357</v>
      </c>
      <c r="L20" s="70" t="s">
        <v>61</v>
      </c>
      <c r="M20" s="70" t="s">
        <v>38</v>
      </c>
      <c r="N20" s="70" t="s">
        <v>36</v>
      </c>
      <c r="O20" s="70" t="s">
        <v>25</v>
      </c>
      <c r="P20" s="69" t="s">
        <v>26</v>
      </c>
      <c r="Q20" s="69" t="s">
        <v>15</v>
      </c>
      <c r="R20" s="46"/>
      <c r="U20" s="71" t="s">
        <v>57</v>
      </c>
    </row>
    <row r="21" spans="1:21" s="45" customFormat="1" ht="12.95" customHeight="1" x14ac:dyDescent="0.2">
      <c r="A21" s="72" t="s">
        <v>74</v>
      </c>
      <c r="B21" s="73" t="s">
        <v>50</v>
      </c>
      <c r="C21" s="74">
        <v>11636.839</v>
      </c>
      <c r="D21" s="75"/>
      <c r="E21" s="76">
        <f t="shared" ref="E21:E52" si="0">(C21-C$7)/C$8</f>
        <v>-1898.9642170289292</v>
      </c>
      <c r="F21" s="76">
        <f t="shared" ref="F21:F52" si="1">ROUND(2*E21,0)/2</f>
        <v>-1899</v>
      </c>
      <c r="G21" s="76">
        <f t="shared" ref="G21:G52" si="2">C21-(C$7+C$8*F21)</f>
        <v>0.47229599999627681</v>
      </c>
      <c r="H21" s="76"/>
      <c r="I21" s="76"/>
      <c r="J21" s="76"/>
      <c r="K21" s="76">
        <f t="shared" ref="K21:K68" si="3">G21</f>
        <v>0.47229599999627681</v>
      </c>
      <c r="L21" s="76"/>
      <c r="M21" s="76"/>
      <c r="N21" s="76"/>
      <c r="O21" s="76">
        <f t="shared" ref="O21:O52" ca="1" si="4">C$11+C$12*F21</f>
        <v>-0.10784008509516621</v>
      </c>
      <c r="P21" s="76"/>
      <c r="Q21" s="77" t="s">
        <v>353</v>
      </c>
      <c r="U21" s="76"/>
    </row>
    <row r="22" spans="1:21" s="45" customFormat="1" ht="12.95" customHeight="1" x14ac:dyDescent="0.2">
      <c r="A22" s="78" t="s">
        <v>74</v>
      </c>
      <c r="B22" s="79" t="s">
        <v>50</v>
      </c>
      <c r="C22" s="80">
        <v>11636.880999999999</v>
      </c>
      <c r="D22" s="81"/>
      <c r="E22" s="45">
        <f t="shared" si="0"/>
        <v>-1898.9610349465381</v>
      </c>
      <c r="F22" s="76">
        <f t="shared" si="1"/>
        <v>-1899</v>
      </c>
      <c r="G22" s="45">
        <f t="shared" si="2"/>
        <v>0.51429599999573838</v>
      </c>
      <c r="K22" s="45">
        <f t="shared" si="3"/>
        <v>0.51429599999573838</v>
      </c>
      <c r="O22" s="76">
        <f t="shared" ca="1" si="4"/>
        <v>-0.10784008509516621</v>
      </c>
      <c r="Q22" s="82" t="s">
        <v>353</v>
      </c>
    </row>
    <row r="23" spans="1:21" s="45" customFormat="1" ht="12.95" customHeight="1" x14ac:dyDescent="0.2">
      <c r="A23" s="78" t="s">
        <v>74</v>
      </c>
      <c r="B23" s="79" t="s">
        <v>50</v>
      </c>
      <c r="C23" s="80">
        <v>12085.664000000001</v>
      </c>
      <c r="D23" s="81"/>
      <c r="E23" s="45">
        <f t="shared" si="0"/>
        <v>-1864.9594996675482</v>
      </c>
      <c r="F23" s="76">
        <f t="shared" si="1"/>
        <v>-1865</v>
      </c>
      <c r="G23" s="45">
        <f t="shared" si="2"/>
        <v>0.53456000000005588</v>
      </c>
      <c r="K23" s="45">
        <f t="shared" si="3"/>
        <v>0.53456000000005588</v>
      </c>
      <c r="O23" s="76">
        <f t="shared" ca="1" si="4"/>
        <v>-0.10640554892730483</v>
      </c>
      <c r="Q23" s="82" t="s">
        <v>354</v>
      </c>
    </row>
    <row r="24" spans="1:21" s="45" customFormat="1" ht="12.95" customHeight="1" x14ac:dyDescent="0.2">
      <c r="A24" s="78" t="s">
        <v>74</v>
      </c>
      <c r="B24" s="79" t="s">
        <v>50</v>
      </c>
      <c r="C24" s="80">
        <v>13946.665000000001</v>
      </c>
      <c r="D24" s="81"/>
      <c r="E24" s="45">
        <f t="shared" si="0"/>
        <v>-1723.9628684321062</v>
      </c>
      <c r="F24" s="76">
        <f t="shared" si="1"/>
        <v>-1724</v>
      </c>
      <c r="G24" s="45">
        <f t="shared" si="2"/>
        <v>0.49009599999772036</v>
      </c>
      <c r="K24" s="45">
        <f t="shared" si="3"/>
        <v>0.49009599999772036</v>
      </c>
      <c r="O24" s="76">
        <f t="shared" ca="1" si="4"/>
        <v>-0.10045644305470333</v>
      </c>
      <c r="Q24" s="82" t="s">
        <v>355</v>
      </c>
    </row>
    <row r="25" spans="1:21" s="45" customFormat="1" ht="12.95" customHeight="1" x14ac:dyDescent="0.2">
      <c r="A25" s="78" t="s">
        <v>74</v>
      </c>
      <c r="B25" s="79" t="s">
        <v>50</v>
      </c>
      <c r="C25" s="80">
        <v>14619.707</v>
      </c>
      <c r="D25" s="81"/>
      <c r="E25" s="45">
        <f t="shared" si="0"/>
        <v>-1672.9706042259268</v>
      </c>
      <c r="F25" s="76">
        <f t="shared" si="1"/>
        <v>-1673</v>
      </c>
      <c r="G25" s="45">
        <f t="shared" si="2"/>
        <v>0.38799199999812117</v>
      </c>
      <c r="K25" s="45">
        <f t="shared" si="3"/>
        <v>0.38799199999812117</v>
      </c>
      <c r="O25" s="76">
        <f t="shared" ca="1" si="4"/>
        <v>-9.8304638802911293E-2</v>
      </c>
      <c r="Q25" s="82" t="s">
        <v>356</v>
      </c>
    </row>
    <row r="26" spans="1:21" s="45" customFormat="1" ht="12.95" customHeight="1" x14ac:dyDescent="0.2">
      <c r="A26" s="78" t="s">
        <v>74</v>
      </c>
      <c r="B26" s="79" t="s">
        <v>50</v>
      </c>
      <c r="C26" s="80">
        <v>15424.569</v>
      </c>
      <c r="D26" s="81"/>
      <c r="E26" s="45">
        <f t="shared" si="0"/>
        <v>-1611.9911471437329</v>
      </c>
      <c r="F26" s="76">
        <f t="shared" si="1"/>
        <v>-1612</v>
      </c>
      <c r="G26" s="45">
        <f t="shared" si="2"/>
        <v>0.11684799999784445</v>
      </c>
      <c r="K26" s="45">
        <f t="shared" si="3"/>
        <v>0.11684799999784445</v>
      </c>
      <c r="O26" s="76">
        <f t="shared" ca="1" si="4"/>
        <v>-9.5730912148807079E-2</v>
      </c>
      <c r="Q26" s="83">
        <f t="shared" ref="Q21:Q52" si="5">C26-15018.5</f>
        <v>406.06899999999951</v>
      </c>
    </row>
    <row r="27" spans="1:21" s="45" customFormat="1" ht="12.95" customHeight="1" x14ac:dyDescent="0.2">
      <c r="A27" s="78" t="s">
        <v>74</v>
      </c>
      <c r="B27" s="79" t="s">
        <v>50</v>
      </c>
      <c r="C27" s="80">
        <v>15767.647000000001</v>
      </c>
      <c r="D27" s="81"/>
      <c r="E27" s="45">
        <f t="shared" si="0"/>
        <v>-1585.9982313683017</v>
      </c>
      <c r="F27" s="76">
        <f t="shared" si="1"/>
        <v>-1586</v>
      </c>
      <c r="G27" s="45">
        <f t="shared" si="2"/>
        <v>2.3343999997450737E-2</v>
      </c>
      <c r="K27" s="45">
        <f t="shared" si="3"/>
        <v>2.3343999997450737E-2</v>
      </c>
      <c r="O27" s="76">
        <f t="shared" ca="1" si="4"/>
        <v>-9.4633913902795463E-2</v>
      </c>
      <c r="Q27" s="83">
        <f t="shared" si="5"/>
        <v>749.14700000000084</v>
      </c>
    </row>
    <row r="28" spans="1:21" s="45" customFormat="1" ht="12.95" customHeight="1" x14ac:dyDescent="0.2">
      <c r="A28" s="78" t="s">
        <v>74</v>
      </c>
      <c r="B28" s="79" t="s">
        <v>50</v>
      </c>
      <c r="C28" s="80">
        <v>16031.83</v>
      </c>
      <c r="D28" s="81"/>
      <c r="E28" s="45">
        <f t="shared" si="0"/>
        <v>-1565.9827058367878</v>
      </c>
      <c r="F28" s="76">
        <f t="shared" si="1"/>
        <v>-1566</v>
      </c>
      <c r="G28" s="45">
        <f t="shared" si="2"/>
        <v>0.22826399999576097</v>
      </c>
      <c r="K28" s="45">
        <f t="shared" si="3"/>
        <v>0.22826399999576097</v>
      </c>
      <c r="O28" s="76">
        <f t="shared" ca="1" si="4"/>
        <v>-9.3790069098171114E-2</v>
      </c>
      <c r="Q28" s="83">
        <f t="shared" si="5"/>
        <v>1013.3299999999999</v>
      </c>
    </row>
    <row r="29" spans="1:21" s="45" customFormat="1" ht="12.95" customHeight="1" x14ac:dyDescent="0.2">
      <c r="A29" s="78" t="s">
        <v>74</v>
      </c>
      <c r="B29" s="79" t="s">
        <v>50</v>
      </c>
      <c r="C29" s="80">
        <v>16111.646000000001</v>
      </c>
      <c r="D29" s="81"/>
      <c r="E29" s="45">
        <f t="shared" si="0"/>
        <v>-1559.9355370718661</v>
      </c>
      <c r="F29" s="76">
        <f t="shared" si="1"/>
        <v>-1560</v>
      </c>
      <c r="G29" s="45">
        <f t="shared" si="2"/>
        <v>0.8508399999991525</v>
      </c>
      <c r="K29" s="45">
        <f t="shared" si="3"/>
        <v>0.8508399999991525</v>
      </c>
      <c r="O29" s="76">
        <f t="shared" ca="1" si="4"/>
        <v>-9.353691565678382E-2</v>
      </c>
      <c r="Q29" s="83">
        <f t="shared" si="5"/>
        <v>1093.1460000000006</v>
      </c>
    </row>
    <row r="30" spans="1:21" s="45" customFormat="1" ht="12.95" customHeight="1" x14ac:dyDescent="0.2">
      <c r="A30" s="78" t="s">
        <v>74</v>
      </c>
      <c r="B30" s="79" t="s">
        <v>50</v>
      </c>
      <c r="C30" s="80">
        <v>16401.769</v>
      </c>
      <c r="D30" s="81"/>
      <c r="E30" s="45">
        <f t="shared" si="0"/>
        <v>-1537.9546968445261</v>
      </c>
      <c r="F30" s="76">
        <f t="shared" si="1"/>
        <v>-1538</v>
      </c>
      <c r="G30" s="45">
        <f t="shared" si="2"/>
        <v>0.59795199999643955</v>
      </c>
      <c r="K30" s="45">
        <f t="shared" si="3"/>
        <v>0.59795199999643955</v>
      </c>
      <c r="O30" s="76">
        <f t="shared" ca="1" si="4"/>
        <v>-9.2608686371697058E-2</v>
      </c>
      <c r="Q30" s="83">
        <f t="shared" si="5"/>
        <v>1383.2690000000002</v>
      </c>
    </row>
    <row r="31" spans="1:21" s="45" customFormat="1" ht="12.95" customHeight="1" x14ac:dyDescent="0.2">
      <c r="A31" s="78" t="s">
        <v>74</v>
      </c>
      <c r="B31" s="79" t="s">
        <v>50</v>
      </c>
      <c r="C31" s="80">
        <v>16414.777999999998</v>
      </c>
      <c r="D31" s="81"/>
      <c r="E31" s="45">
        <f t="shared" si="0"/>
        <v>-1536.9690847058214</v>
      </c>
      <c r="F31" s="76">
        <f t="shared" si="1"/>
        <v>-1537</v>
      </c>
      <c r="G31" s="45">
        <f t="shared" si="2"/>
        <v>0.40804799999750685</v>
      </c>
      <c r="K31" s="45">
        <f t="shared" si="3"/>
        <v>0.40804799999750685</v>
      </c>
      <c r="O31" s="76">
        <f t="shared" ca="1" si="4"/>
        <v>-9.2566494131465837E-2</v>
      </c>
      <c r="Q31" s="83">
        <f t="shared" si="5"/>
        <v>1396.2779999999984</v>
      </c>
    </row>
    <row r="32" spans="1:21" s="45" customFormat="1" ht="12.95" customHeight="1" x14ac:dyDescent="0.2">
      <c r="A32" s="78" t="s">
        <v>74</v>
      </c>
      <c r="B32" s="79" t="s">
        <v>50</v>
      </c>
      <c r="C32" s="80">
        <v>16427.746999999999</v>
      </c>
      <c r="D32" s="81"/>
      <c r="E32" s="45">
        <f t="shared" si="0"/>
        <v>-1535.9865031217746</v>
      </c>
      <c r="F32" s="76">
        <f t="shared" si="1"/>
        <v>-1536</v>
      </c>
      <c r="G32" s="45">
        <f t="shared" si="2"/>
        <v>0.17814399999770103</v>
      </c>
      <c r="K32" s="45">
        <f t="shared" si="3"/>
        <v>0.17814399999770103</v>
      </c>
      <c r="O32" s="76">
        <f t="shared" ca="1" si="4"/>
        <v>-9.2524301891234617E-2</v>
      </c>
      <c r="Q32" s="83">
        <f t="shared" si="5"/>
        <v>1409.2469999999994</v>
      </c>
    </row>
    <row r="33" spans="1:18" s="45" customFormat="1" ht="12.95" customHeight="1" x14ac:dyDescent="0.2">
      <c r="A33" s="78" t="s">
        <v>74</v>
      </c>
      <c r="B33" s="79" t="s">
        <v>50</v>
      </c>
      <c r="C33" s="80">
        <v>16467.668000000001</v>
      </c>
      <c r="D33" s="81"/>
      <c r="E33" s="45">
        <f t="shared" si="0"/>
        <v>-1532.9619338090497</v>
      </c>
      <c r="F33" s="76">
        <f t="shared" si="1"/>
        <v>-1533</v>
      </c>
      <c r="G33" s="45">
        <f t="shared" si="2"/>
        <v>0.50243199999749777</v>
      </c>
      <c r="K33" s="45">
        <f t="shared" si="3"/>
        <v>0.50243199999749777</v>
      </c>
      <c r="O33" s="76">
        <f t="shared" ca="1" si="4"/>
        <v>-9.2397725170540984E-2</v>
      </c>
      <c r="Q33" s="83">
        <f t="shared" si="5"/>
        <v>1449.1680000000015</v>
      </c>
    </row>
    <row r="34" spans="1:18" s="45" customFormat="1" ht="12.95" customHeight="1" x14ac:dyDescent="0.2">
      <c r="A34" s="78" t="s">
        <v>74</v>
      </c>
      <c r="B34" s="79" t="s">
        <v>50</v>
      </c>
      <c r="C34" s="80">
        <v>16507.595000000001</v>
      </c>
      <c r="D34" s="81"/>
      <c r="E34" s="45">
        <f t="shared" si="0"/>
        <v>-1529.9369099131263</v>
      </c>
      <c r="F34" s="76">
        <f t="shared" si="1"/>
        <v>-1530</v>
      </c>
      <c r="G34" s="45">
        <f t="shared" si="2"/>
        <v>0.83271999999851687</v>
      </c>
      <c r="K34" s="45">
        <f t="shared" si="3"/>
        <v>0.83271999999851687</v>
      </c>
      <c r="O34" s="76">
        <f t="shared" ca="1" si="4"/>
        <v>-9.2271148449847323E-2</v>
      </c>
      <c r="Q34" s="83">
        <f t="shared" si="5"/>
        <v>1489.0950000000012</v>
      </c>
    </row>
    <row r="35" spans="1:18" s="45" customFormat="1" ht="12.95" customHeight="1" x14ac:dyDescent="0.2">
      <c r="A35" s="78" t="s">
        <v>74</v>
      </c>
      <c r="B35" s="79" t="s">
        <v>50</v>
      </c>
      <c r="C35" s="80">
        <v>16757.837</v>
      </c>
      <c r="D35" s="81"/>
      <c r="E35" s="45">
        <f t="shared" si="0"/>
        <v>-1510.9776084438529</v>
      </c>
      <c r="F35" s="76">
        <f t="shared" si="1"/>
        <v>-1511</v>
      </c>
      <c r="G35" s="45">
        <f t="shared" si="2"/>
        <v>0.2955439999968803</v>
      </c>
      <c r="K35" s="45">
        <f t="shared" si="3"/>
        <v>0.2955439999968803</v>
      </c>
      <c r="O35" s="76">
        <f t="shared" ca="1" si="4"/>
        <v>-9.1469495885454222E-2</v>
      </c>
      <c r="Q35" s="83">
        <f t="shared" si="5"/>
        <v>1739.3369999999995</v>
      </c>
    </row>
    <row r="36" spans="1:18" s="45" customFormat="1" ht="12.95" customHeight="1" x14ac:dyDescent="0.2">
      <c r="A36" s="78" t="s">
        <v>74</v>
      </c>
      <c r="B36" s="79" t="s">
        <v>50</v>
      </c>
      <c r="C36" s="80">
        <v>16770.746999999999</v>
      </c>
      <c r="D36" s="81"/>
      <c r="E36" s="45">
        <f t="shared" si="0"/>
        <v>-1509.9994969279269</v>
      </c>
      <c r="F36" s="76">
        <f t="shared" si="1"/>
        <v>-1510</v>
      </c>
      <c r="G36" s="45">
        <f t="shared" si="2"/>
        <v>6.6399999959685374E-3</v>
      </c>
      <c r="K36" s="45">
        <f t="shared" si="3"/>
        <v>6.6399999959685374E-3</v>
      </c>
      <c r="O36" s="76">
        <f t="shared" ca="1" si="4"/>
        <v>-9.1427303645223001E-2</v>
      </c>
      <c r="Q36" s="83">
        <f t="shared" si="5"/>
        <v>1752.2469999999994</v>
      </c>
    </row>
    <row r="37" spans="1:18" x14ac:dyDescent="0.2">
      <c r="A37" s="30" t="s">
        <v>74</v>
      </c>
      <c r="B37" s="32" t="s">
        <v>50</v>
      </c>
      <c r="C37" s="31">
        <v>16810.670999999998</v>
      </c>
      <c r="D37" s="10"/>
      <c r="E37" s="1">
        <f t="shared" si="0"/>
        <v>-1506.974700323603</v>
      </c>
      <c r="F37" s="2">
        <f t="shared" si="1"/>
        <v>-1507</v>
      </c>
      <c r="G37" s="1">
        <f t="shared" si="2"/>
        <v>0.33392799999637646</v>
      </c>
      <c r="K37" s="1">
        <f t="shared" si="3"/>
        <v>0.33392799999637646</v>
      </c>
      <c r="O37" s="2">
        <f t="shared" ca="1" si="4"/>
        <v>-9.1300726924529341E-2</v>
      </c>
      <c r="Q37" s="3">
        <f t="shared" si="5"/>
        <v>1792.1709999999985</v>
      </c>
      <c r="R37" s="1"/>
    </row>
    <row r="38" spans="1:18" x14ac:dyDescent="0.2">
      <c r="A38" s="30" t="s">
        <v>74</v>
      </c>
      <c r="B38" s="32" t="s">
        <v>50</v>
      </c>
      <c r="C38" s="31">
        <v>16823.782999999999</v>
      </c>
      <c r="D38" s="10"/>
      <c r="E38" s="1">
        <f t="shared" si="0"/>
        <v>-1505.9812845066533</v>
      </c>
      <c r="F38" s="2">
        <f t="shared" si="1"/>
        <v>-1506</v>
      </c>
      <c r="G38" s="1">
        <f t="shared" si="2"/>
        <v>0.24702399999659974</v>
      </c>
      <c r="K38" s="1">
        <f t="shared" si="3"/>
        <v>0.24702399999659974</v>
      </c>
      <c r="O38" s="2">
        <f t="shared" ca="1" si="4"/>
        <v>-9.125853468429812E-2</v>
      </c>
      <c r="Q38" s="3">
        <f t="shared" si="5"/>
        <v>1805.2829999999994</v>
      </c>
      <c r="R38" s="1"/>
    </row>
    <row r="39" spans="1:18" x14ac:dyDescent="0.2">
      <c r="A39" s="30" t="s">
        <v>74</v>
      </c>
      <c r="B39" s="32" t="s">
        <v>50</v>
      </c>
      <c r="C39" s="31">
        <v>16916.615000000002</v>
      </c>
      <c r="D39" s="10"/>
      <c r="E39" s="1">
        <f t="shared" si="0"/>
        <v>-1498.9479732559614</v>
      </c>
      <c r="F39" s="2">
        <f t="shared" si="1"/>
        <v>-1499</v>
      </c>
      <c r="G39" s="1">
        <f t="shared" si="2"/>
        <v>0.68669600000066566</v>
      </c>
      <c r="K39" s="1">
        <f t="shared" si="3"/>
        <v>0.68669600000066566</v>
      </c>
      <c r="O39" s="2">
        <f t="shared" ca="1" si="4"/>
        <v>-9.0963189002679606E-2</v>
      </c>
      <c r="Q39" s="3">
        <f t="shared" si="5"/>
        <v>1898.1150000000016</v>
      </c>
      <c r="R39" s="1"/>
    </row>
    <row r="40" spans="1:18" x14ac:dyDescent="0.2">
      <c r="A40" s="30" t="s">
        <v>74</v>
      </c>
      <c r="B40" s="32" t="s">
        <v>50</v>
      </c>
      <c r="C40" s="31">
        <v>17074.834999999999</v>
      </c>
      <c r="D40" s="10"/>
      <c r="E40" s="1">
        <f t="shared" si="0"/>
        <v>-1486.9606143055516</v>
      </c>
      <c r="F40" s="2">
        <f t="shared" si="1"/>
        <v>-1487</v>
      </c>
      <c r="G40" s="1">
        <f t="shared" si="2"/>
        <v>0.51984799999627285</v>
      </c>
      <c r="K40" s="1">
        <f t="shared" si="3"/>
        <v>0.51984799999627285</v>
      </c>
      <c r="O40" s="2">
        <f t="shared" ca="1" si="4"/>
        <v>-9.0456882119905019E-2</v>
      </c>
      <c r="Q40" s="3">
        <f t="shared" si="5"/>
        <v>2056.3349999999991</v>
      </c>
      <c r="R40" s="1"/>
    </row>
    <row r="41" spans="1:18" x14ac:dyDescent="0.2">
      <c r="A41" s="30" t="s">
        <v>74</v>
      </c>
      <c r="B41" s="32" t="s">
        <v>50</v>
      </c>
      <c r="C41" s="31">
        <v>17259.542000000001</v>
      </c>
      <c r="D41" s="10"/>
      <c r="E41" s="1">
        <f t="shared" si="0"/>
        <v>-1472.966497824365</v>
      </c>
      <c r="F41" s="2">
        <f t="shared" si="1"/>
        <v>-1473</v>
      </c>
      <c r="G41" s="1">
        <f t="shared" si="2"/>
        <v>0.44219199999861303</v>
      </c>
      <c r="K41" s="1">
        <f t="shared" si="3"/>
        <v>0.44219199999861303</v>
      </c>
      <c r="O41" s="2">
        <f t="shared" ca="1" si="4"/>
        <v>-8.9866190756667991E-2</v>
      </c>
      <c r="Q41" s="3">
        <f t="shared" si="5"/>
        <v>2241.0420000000013</v>
      </c>
      <c r="R41" s="1"/>
    </row>
    <row r="42" spans="1:18" x14ac:dyDescent="0.2">
      <c r="A42" s="30" t="s">
        <v>140</v>
      </c>
      <c r="B42" s="32" t="s">
        <v>50</v>
      </c>
      <c r="C42" s="31">
        <v>17312.338</v>
      </c>
      <c r="D42" s="10"/>
      <c r="E42" s="1">
        <f t="shared" si="0"/>
        <v>-1468.9664687310403</v>
      </c>
      <c r="F42" s="2">
        <f t="shared" si="1"/>
        <v>-1469</v>
      </c>
      <c r="G42" s="1">
        <f t="shared" si="2"/>
        <v>0.44257599999764352</v>
      </c>
      <c r="K42" s="1">
        <f t="shared" si="3"/>
        <v>0.44257599999764352</v>
      </c>
      <c r="O42" s="2">
        <f t="shared" ca="1" si="4"/>
        <v>-8.9697421795743124E-2</v>
      </c>
      <c r="Q42" s="3">
        <f t="shared" si="5"/>
        <v>2293.8379999999997</v>
      </c>
      <c r="R42" s="1"/>
    </row>
    <row r="43" spans="1:18" x14ac:dyDescent="0.2">
      <c r="A43" s="30" t="s">
        <v>140</v>
      </c>
      <c r="B43" s="32" t="s">
        <v>50</v>
      </c>
      <c r="C43" s="31">
        <v>17497.125</v>
      </c>
      <c r="D43" s="10"/>
      <c r="E43" s="1">
        <f t="shared" si="0"/>
        <v>-1454.9662911405374</v>
      </c>
      <c r="F43" s="2">
        <f t="shared" si="1"/>
        <v>-1455</v>
      </c>
      <c r="G43" s="1">
        <f t="shared" si="2"/>
        <v>0.44491999999809195</v>
      </c>
      <c r="K43" s="1">
        <f t="shared" si="3"/>
        <v>0.44491999999809195</v>
      </c>
      <c r="O43" s="2">
        <f t="shared" ca="1" si="4"/>
        <v>-8.9106730432506095E-2</v>
      </c>
      <c r="Q43" s="3">
        <f t="shared" si="5"/>
        <v>2478.625</v>
      </c>
      <c r="R43" s="1"/>
    </row>
    <row r="44" spans="1:18" x14ac:dyDescent="0.2">
      <c r="A44" s="30" t="s">
        <v>140</v>
      </c>
      <c r="B44" s="32" t="s">
        <v>50</v>
      </c>
      <c r="C44" s="31">
        <v>17523.5</v>
      </c>
      <c r="D44" s="10"/>
      <c r="E44" s="1">
        <f t="shared" si="0"/>
        <v>-1452.9680191628033</v>
      </c>
      <c r="F44" s="2">
        <f t="shared" si="1"/>
        <v>-1453</v>
      </c>
      <c r="G44" s="1">
        <f t="shared" si="2"/>
        <v>0.42211199999655946</v>
      </c>
      <c r="K44" s="1">
        <f t="shared" si="3"/>
        <v>0.42211199999655946</v>
      </c>
      <c r="O44" s="2">
        <f t="shared" ca="1" si="4"/>
        <v>-8.9022345952043669E-2</v>
      </c>
      <c r="Q44" s="3">
        <f t="shared" si="5"/>
        <v>2505</v>
      </c>
      <c r="R44" s="1"/>
    </row>
    <row r="45" spans="1:18" x14ac:dyDescent="0.2">
      <c r="A45" s="30" t="s">
        <v>151</v>
      </c>
      <c r="B45" s="32" t="s">
        <v>50</v>
      </c>
      <c r="C45" s="31">
        <v>24136.16</v>
      </c>
      <c r="D45" s="10"/>
      <c r="E45" s="1">
        <f t="shared" si="0"/>
        <v>-951.96733001467419</v>
      </c>
      <c r="F45" s="2">
        <f t="shared" si="1"/>
        <v>-952</v>
      </c>
      <c r="G45" s="1">
        <f t="shared" si="2"/>
        <v>0.43120799999815063</v>
      </c>
      <c r="K45" s="1">
        <f t="shared" si="3"/>
        <v>0.43120799999815063</v>
      </c>
      <c r="O45" s="2">
        <f t="shared" ca="1" si="4"/>
        <v>-6.7884033596204207E-2</v>
      </c>
      <c r="Q45" s="3">
        <f t="shared" si="5"/>
        <v>9117.66</v>
      </c>
      <c r="R45" s="1"/>
    </row>
    <row r="46" spans="1:18" x14ac:dyDescent="0.2">
      <c r="A46" s="30" t="s">
        <v>151</v>
      </c>
      <c r="B46" s="32" t="s">
        <v>50</v>
      </c>
      <c r="C46" s="31">
        <v>25152.442999999999</v>
      </c>
      <c r="D46" s="10"/>
      <c r="E46" s="1">
        <f t="shared" si="0"/>
        <v>-874.96980052283152</v>
      </c>
      <c r="F46" s="2">
        <f t="shared" si="1"/>
        <v>-875</v>
      </c>
      <c r="G46" s="1">
        <f t="shared" si="2"/>
        <v>0.3985999999968044</v>
      </c>
      <c r="K46" s="1">
        <f t="shared" si="3"/>
        <v>0.3985999999968044</v>
      </c>
      <c r="O46" s="2">
        <f t="shared" ca="1" si="4"/>
        <v>-6.4635231098400553E-2</v>
      </c>
      <c r="Q46" s="3">
        <f t="shared" si="5"/>
        <v>10133.942999999999</v>
      </c>
      <c r="R46" s="1"/>
    </row>
    <row r="47" spans="1:18" x14ac:dyDescent="0.2">
      <c r="A47" s="35" t="s">
        <v>151</v>
      </c>
      <c r="B47" s="37" t="s">
        <v>50</v>
      </c>
      <c r="C47" s="40">
        <v>25192.055</v>
      </c>
      <c r="D47" s="15"/>
      <c r="E47" s="1">
        <f t="shared" si="0"/>
        <v>-871.96864224484113</v>
      </c>
      <c r="F47" s="2">
        <f t="shared" si="1"/>
        <v>-872</v>
      </c>
      <c r="G47" s="1">
        <f t="shared" si="2"/>
        <v>0.41388799999549519</v>
      </c>
      <c r="K47" s="1">
        <f t="shared" si="3"/>
        <v>0.41388799999549519</v>
      </c>
      <c r="O47" s="2">
        <f t="shared" ca="1" si="4"/>
        <v>-6.4508654377706892E-2</v>
      </c>
      <c r="Q47" s="3">
        <f t="shared" si="5"/>
        <v>10173.555</v>
      </c>
      <c r="R47" s="1"/>
    </row>
    <row r="48" spans="1:18" x14ac:dyDescent="0.2">
      <c r="A48" s="35" t="s">
        <v>151</v>
      </c>
      <c r="B48" s="37" t="s">
        <v>50</v>
      </c>
      <c r="C48" s="40">
        <v>25324.07</v>
      </c>
      <c r="D48" s="15"/>
      <c r="E48" s="1">
        <f t="shared" si="0"/>
        <v>-861.96667541486806</v>
      </c>
      <c r="F48" s="2">
        <f t="shared" si="1"/>
        <v>-862</v>
      </c>
      <c r="G48" s="1">
        <f t="shared" si="2"/>
        <v>0.43984799999452662</v>
      </c>
      <c r="K48" s="1">
        <f t="shared" si="3"/>
        <v>0.43984799999452662</v>
      </c>
      <c r="O48" s="2">
        <f t="shared" ca="1" si="4"/>
        <v>-6.4086731975394745E-2</v>
      </c>
      <c r="Q48" s="3">
        <f t="shared" si="5"/>
        <v>10305.57</v>
      </c>
      <c r="R48" s="1"/>
    </row>
    <row r="49" spans="1:18" x14ac:dyDescent="0.2">
      <c r="A49" s="35" t="s">
        <v>165</v>
      </c>
      <c r="B49" s="37" t="s">
        <v>50</v>
      </c>
      <c r="C49" s="40">
        <v>25324.304</v>
      </c>
      <c r="D49" s="15"/>
      <c r="E49" s="1">
        <f t="shared" si="0"/>
        <v>-861.94894667011772</v>
      </c>
      <c r="F49" s="2">
        <f t="shared" si="1"/>
        <v>-862</v>
      </c>
      <c r="G49" s="1">
        <f t="shared" si="2"/>
        <v>0.67384799999490497</v>
      </c>
      <c r="K49" s="1">
        <f t="shared" si="3"/>
        <v>0.67384799999490497</v>
      </c>
      <c r="O49" s="2">
        <f t="shared" ca="1" si="4"/>
        <v>-6.4086731975394745E-2</v>
      </c>
      <c r="Q49" s="3">
        <f t="shared" si="5"/>
        <v>10305.804</v>
      </c>
      <c r="R49" s="1"/>
    </row>
    <row r="50" spans="1:18" x14ac:dyDescent="0.2">
      <c r="A50" s="35" t="s">
        <v>151</v>
      </c>
      <c r="B50" s="37" t="s">
        <v>50</v>
      </c>
      <c r="C50" s="40">
        <v>25469.22</v>
      </c>
      <c r="D50" s="15"/>
      <c r="E50" s="1">
        <f t="shared" si="0"/>
        <v>-850.96955019901668</v>
      </c>
      <c r="F50" s="2">
        <f t="shared" si="1"/>
        <v>-851</v>
      </c>
      <c r="G50" s="1">
        <f t="shared" si="2"/>
        <v>0.40190399999846704</v>
      </c>
      <c r="K50" s="1">
        <f t="shared" si="3"/>
        <v>0.40190399999846704</v>
      </c>
      <c r="O50" s="2">
        <f t="shared" ca="1" si="4"/>
        <v>-6.362261733285135E-2</v>
      </c>
      <c r="Q50" s="3">
        <f t="shared" si="5"/>
        <v>10450.720000000001</v>
      </c>
      <c r="R50" s="1"/>
    </row>
    <row r="51" spans="1:18" x14ac:dyDescent="0.2">
      <c r="A51" s="35" t="s">
        <v>151</v>
      </c>
      <c r="B51" s="37" t="s">
        <v>50</v>
      </c>
      <c r="C51" s="40">
        <v>25482.421999999999</v>
      </c>
      <c r="D51" s="15"/>
      <c r="E51" s="1">
        <f t="shared" si="0"/>
        <v>-849.96931563408634</v>
      </c>
      <c r="F51" s="2">
        <f t="shared" si="1"/>
        <v>-850</v>
      </c>
      <c r="G51" s="1">
        <f t="shared" si="2"/>
        <v>0.40499999999519787</v>
      </c>
      <c r="K51" s="1">
        <f t="shared" si="3"/>
        <v>0.40499999999519787</v>
      </c>
      <c r="O51" s="2">
        <f t="shared" ca="1" si="4"/>
        <v>-6.358042509262013E-2</v>
      </c>
      <c r="Q51" s="3">
        <f t="shared" si="5"/>
        <v>10463.921999999999</v>
      </c>
      <c r="R51" s="1"/>
    </row>
    <row r="52" spans="1:18" x14ac:dyDescent="0.2">
      <c r="A52" s="35" t="s">
        <v>151</v>
      </c>
      <c r="B52" s="37" t="s">
        <v>50</v>
      </c>
      <c r="C52" s="40">
        <v>25838.758000000002</v>
      </c>
      <c r="D52" s="15"/>
      <c r="E52" s="1">
        <f t="shared" si="0"/>
        <v>-822.9719225172031</v>
      </c>
      <c r="F52" s="2">
        <f t="shared" si="1"/>
        <v>-823</v>
      </c>
      <c r="G52" s="1">
        <f t="shared" si="2"/>
        <v>0.3705919999993057</v>
      </c>
      <c r="K52" s="1">
        <f t="shared" si="3"/>
        <v>0.3705919999993057</v>
      </c>
      <c r="O52" s="2">
        <f t="shared" ca="1" si="4"/>
        <v>-6.2441234606377294E-2</v>
      </c>
      <c r="Q52" s="3">
        <f t="shared" si="5"/>
        <v>10820.258000000002</v>
      </c>
      <c r="R52" s="1"/>
    </row>
    <row r="53" spans="1:18" x14ac:dyDescent="0.2">
      <c r="A53" s="35" t="s">
        <v>151</v>
      </c>
      <c r="B53" s="37" t="s">
        <v>50</v>
      </c>
      <c r="C53" s="40">
        <v>25865.162</v>
      </c>
      <c r="D53" s="15"/>
      <c r="E53" s="1">
        <f t="shared" ref="E53:E84" si="6">(C53-C$7)/C$8</f>
        <v>-820.97145338734208</v>
      </c>
      <c r="F53" s="2">
        <f t="shared" ref="F53:F84" si="7">ROUND(2*E53,0)/2</f>
        <v>-821</v>
      </c>
      <c r="G53" s="1">
        <f t="shared" ref="G53:G72" si="8">C53-(C$7+C$8*F53)</f>
        <v>0.37678399999640533</v>
      </c>
      <c r="K53" s="1">
        <f t="shared" si="3"/>
        <v>0.37678399999640533</v>
      </c>
      <c r="O53" s="2">
        <f t="shared" ref="O53:O84" ca="1" si="9">C$11+C$12*F53</f>
        <v>-6.235685012591486E-2</v>
      </c>
      <c r="Q53" s="3">
        <f t="shared" ref="Q53:Q84" si="10">C53-15018.5</f>
        <v>10846.662</v>
      </c>
      <c r="R53" s="1"/>
    </row>
    <row r="54" spans="1:18" x14ac:dyDescent="0.2">
      <c r="A54" s="35" t="s">
        <v>151</v>
      </c>
      <c r="B54" s="37" t="s">
        <v>50</v>
      </c>
      <c r="C54" s="40">
        <v>26419.527999999998</v>
      </c>
      <c r="D54" s="15"/>
      <c r="E54" s="1">
        <f t="shared" si="6"/>
        <v>-778.97054179650104</v>
      </c>
      <c r="F54" s="2">
        <f t="shared" si="7"/>
        <v>-779</v>
      </c>
      <c r="G54" s="1">
        <f t="shared" si="8"/>
        <v>0.38881599999513128</v>
      </c>
      <c r="K54" s="1">
        <f t="shared" si="3"/>
        <v>0.38881599999513128</v>
      </c>
      <c r="O54" s="2">
        <f t="shared" ca="1" si="9"/>
        <v>-6.0584776036203769E-2</v>
      </c>
      <c r="Q54" s="3">
        <f t="shared" si="10"/>
        <v>11401.027999999998</v>
      </c>
      <c r="R54" s="1"/>
    </row>
    <row r="55" spans="1:18" x14ac:dyDescent="0.2">
      <c r="A55" s="35" t="s">
        <v>151</v>
      </c>
      <c r="B55" s="37" t="s">
        <v>50</v>
      </c>
      <c r="C55" s="40">
        <v>27699.748</v>
      </c>
      <c r="D55" s="15"/>
      <c r="E55" s="1">
        <f t="shared" si="6"/>
        <v>-681.97612468429224</v>
      </c>
      <c r="F55" s="2">
        <f t="shared" si="7"/>
        <v>-682</v>
      </c>
      <c r="G55" s="1">
        <f t="shared" si="8"/>
        <v>0.31512799999472918</v>
      </c>
      <c r="K55" s="1">
        <f t="shared" si="3"/>
        <v>0.31512799999472918</v>
      </c>
      <c r="O55" s="2">
        <f t="shared" ca="1" si="9"/>
        <v>-5.6492128733775779E-2</v>
      </c>
      <c r="Q55" s="3">
        <f t="shared" si="10"/>
        <v>12681.248</v>
      </c>
      <c r="R55" s="1"/>
    </row>
    <row r="56" spans="1:18" x14ac:dyDescent="0.2">
      <c r="A56" s="30" t="s">
        <v>151</v>
      </c>
      <c r="B56" s="32" t="s">
        <v>50</v>
      </c>
      <c r="C56" s="31">
        <v>28188.114000000001</v>
      </c>
      <c r="D56" s="10"/>
      <c r="E56" s="1">
        <f t="shared" si="6"/>
        <v>-644.97562827943909</v>
      </c>
      <c r="F56" s="2">
        <f t="shared" si="7"/>
        <v>-645</v>
      </c>
      <c r="G56" s="1">
        <f t="shared" si="8"/>
        <v>0.32168000000092434</v>
      </c>
      <c r="K56" s="1">
        <f t="shared" si="3"/>
        <v>0.32168000000092434</v>
      </c>
      <c r="O56" s="2">
        <f t="shared" ca="1" si="9"/>
        <v>-5.4931015845220768E-2</v>
      </c>
      <c r="Q56" s="3">
        <f t="shared" si="10"/>
        <v>13169.614000000001</v>
      </c>
      <c r="R56" s="1"/>
    </row>
    <row r="57" spans="1:18" x14ac:dyDescent="0.2">
      <c r="A57" s="30" t="s">
        <v>151</v>
      </c>
      <c r="B57" s="32" t="s">
        <v>50</v>
      </c>
      <c r="C57" s="31">
        <v>28359.695</v>
      </c>
      <c r="D57" s="10"/>
      <c r="E57" s="1">
        <f t="shared" si="6"/>
        <v>-631.97598830933259</v>
      </c>
      <c r="F57" s="2">
        <f t="shared" si="7"/>
        <v>-632</v>
      </c>
      <c r="G57" s="1">
        <f t="shared" si="8"/>
        <v>0.31692799999655108</v>
      </c>
      <c r="K57" s="1">
        <f t="shared" si="3"/>
        <v>0.31692799999655108</v>
      </c>
      <c r="O57" s="2">
        <f t="shared" ca="1" si="9"/>
        <v>-5.4382516722214953E-2</v>
      </c>
      <c r="Q57" s="3">
        <f t="shared" si="10"/>
        <v>13341.195</v>
      </c>
      <c r="R57" s="1"/>
    </row>
    <row r="58" spans="1:18" x14ac:dyDescent="0.2">
      <c r="A58" s="30" t="s">
        <v>151</v>
      </c>
      <c r="B58" s="32" t="s">
        <v>50</v>
      </c>
      <c r="C58" s="31">
        <v>28755.652999999998</v>
      </c>
      <c r="D58" s="10"/>
      <c r="E58" s="1">
        <f t="shared" si="6"/>
        <v>-601.97667927579482</v>
      </c>
      <c r="F58" s="2">
        <f t="shared" si="7"/>
        <v>-602</v>
      </c>
      <c r="G58" s="1">
        <f t="shared" si="8"/>
        <v>0.30780799999411101</v>
      </c>
      <c r="K58" s="1">
        <f t="shared" si="3"/>
        <v>0.30780799999411101</v>
      </c>
      <c r="O58" s="2">
        <f t="shared" ca="1" si="9"/>
        <v>-5.3116749515278457E-2</v>
      </c>
      <c r="Q58" s="3">
        <f t="shared" si="10"/>
        <v>13737.152999999998</v>
      </c>
      <c r="R58" s="1"/>
    </row>
    <row r="59" spans="1:18" x14ac:dyDescent="0.2">
      <c r="A59" s="30" t="s">
        <v>151</v>
      </c>
      <c r="B59" s="32" t="s">
        <v>50</v>
      </c>
      <c r="C59" s="31">
        <v>28834.815999999999</v>
      </c>
      <c r="D59" s="10"/>
      <c r="E59" s="1">
        <f t="shared" si="6"/>
        <v>-595.97898431566773</v>
      </c>
      <c r="F59" s="2">
        <f t="shared" si="7"/>
        <v>-596</v>
      </c>
      <c r="G59" s="1">
        <f t="shared" si="8"/>
        <v>0.27738399999361718</v>
      </c>
      <c r="K59" s="1">
        <f t="shared" si="3"/>
        <v>0.27738399999361718</v>
      </c>
      <c r="O59" s="2">
        <f t="shared" ca="1" si="9"/>
        <v>-5.2863596073891156E-2</v>
      </c>
      <c r="Q59" s="3">
        <f t="shared" si="10"/>
        <v>13816.315999999999</v>
      </c>
      <c r="R59" s="1"/>
    </row>
    <row r="60" spans="1:18" x14ac:dyDescent="0.2">
      <c r="A60" s="30" t="s">
        <v>201</v>
      </c>
      <c r="B60" s="32" t="s">
        <v>50</v>
      </c>
      <c r="C60" s="31">
        <v>29217.587</v>
      </c>
      <c r="D60" s="10"/>
      <c r="E60" s="1">
        <f t="shared" si="6"/>
        <v>-566.97877338906346</v>
      </c>
      <c r="F60" s="2">
        <f t="shared" si="7"/>
        <v>-567</v>
      </c>
      <c r="G60" s="1">
        <f t="shared" si="8"/>
        <v>0.28016799999750219</v>
      </c>
      <c r="K60" s="1">
        <f t="shared" si="3"/>
        <v>0.28016799999750219</v>
      </c>
      <c r="O60" s="2">
        <f t="shared" ca="1" si="9"/>
        <v>-5.1640021107185879E-2</v>
      </c>
      <c r="Q60" s="3">
        <f t="shared" si="10"/>
        <v>14199.087</v>
      </c>
      <c r="R60" s="1"/>
    </row>
    <row r="61" spans="1:18" x14ac:dyDescent="0.2">
      <c r="A61" s="30" t="s">
        <v>206</v>
      </c>
      <c r="B61" s="32" t="s">
        <v>50</v>
      </c>
      <c r="C61" s="31">
        <v>29877.823</v>
      </c>
      <c r="D61" s="10"/>
      <c r="E61" s="1">
        <f t="shared" si="6"/>
        <v>-516.95674125669848</v>
      </c>
      <c r="F61" s="2">
        <f t="shared" si="7"/>
        <v>-517</v>
      </c>
      <c r="G61" s="1">
        <f t="shared" si="8"/>
        <v>0.5709679999963555</v>
      </c>
      <c r="K61" s="1">
        <f t="shared" si="3"/>
        <v>0.5709679999963555</v>
      </c>
      <c r="O61" s="2">
        <f t="shared" ca="1" si="9"/>
        <v>-4.9530409095625061E-2</v>
      </c>
      <c r="Q61" s="3">
        <f t="shared" si="10"/>
        <v>14859.323</v>
      </c>
      <c r="R61" s="1"/>
    </row>
    <row r="62" spans="1:18" x14ac:dyDescent="0.2">
      <c r="A62" s="30" t="s">
        <v>151</v>
      </c>
      <c r="B62" s="32" t="s">
        <v>50</v>
      </c>
      <c r="C62" s="31">
        <v>30431.82</v>
      </c>
      <c r="D62" s="10"/>
      <c r="E62" s="1">
        <f t="shared" si="6"/>
        <v>-474.98378653257902</v>
      </c>
      <c r="F62" s="2">
        <f t="shared" si="7"/>
        <v>-475</v>
      </c>
      <c r="G62" s="1">
        <f t="shared" si="8"/>
        <v>0.21399999999630381</v>
      </c>
      <c r="K62" s="1">
        <f t="shared" si="3"/>
        <v>0.21399999999630381</v>
      </c>
      <c r="O62" s="2">
        <f t="shared" ca="1" si="9"/>
        <v>-4.775833500591397E-2</v>
      </c>
      <c r="Q62" s="3">
        <f t="shared" si="10"/>
        <v>15413.32</v>
      </c>
      <c r="R62" s="1"/>
    </row>
    <row r="63" spans="1:18" x14ac:dyDescent="0.2">
      <c r="A63" s="30" t="s">
        <v>151</v>
      </c>
      <c r="B63" s="32" t="s">
        <v>50</v>
      </c>
      <c r="C63" s="31">
        <v>33005.546000000002</v>
      </c>
      <c r="D63" s="10"/>
      <c r="E63" s="1">
        <f t="shared" si="6"/>
        <v>-279.98835357844871</v>
      </c>
      <c r="F63" s="2">
        <f t="shared" si="7"/>
        <v>-280</v>
      </c>
      <c r="G63" s="1">
        <f t="shared" si="8"/>
        <v>0.15372000000206754</v>
      </c>
      <c r="K63" s="1">
        <f t="shared" si="3"/>
        <v>0.15372000000206754</v>
      </c>
      <c r="O63" s="2">
        <f t="shared" ca="1" si="9"/>
        <v>-3.9530848160826762E-2</v>
      </c>
      <c r="Q63" s="3">
        <f t="shared" si="10"/>
        <v>17987.046000000002</v>
      </c>
      <c r="R63" s="1"/>
    </row>
    <row r="64" spans="1:18" x14ac:dyDescent="0.2">
      <c r="A64" s="30" t="s">
        <v>151</v>
      </c>
      <c r="B64" s="32" t="s">
        <v>50</v>
      </c>
      <c r="C64" s="31">
        <v>33744.637000000002</v>
      </c>
      <c r="D64" s="10"/>
      <c r="E64" s="1">
        <f t="shared" si="6"/>
        <v>-223.99196175682474</v>
      </c>
      <c r="F64" s="2">
        <f t="shared" si="7"/>
        <v>-224</v>
      </c>
      <c r="G64" s="1">
        <f t="shared" si="8"/>
        <v>0.10609599999588681</v>
      </c>
      <c r="K64" s="1">
        <f t="shared" si="3"/>
        <v>0.10609599999588681</v>
      </c>
      <c r="O64" s="2">
        <f t="shared" ca="1" si="9"/>
        <v>-3.7168082707878636E-2</v>
      </c>
      <c r="Q64" s="3">
        <f t="shared" si="10"/>
        <v>18726.137000000002</v>
      </c>
      <c r="R64" s="1"/>
    </row>
    <row r="65" spans="1:21" x14ac:dyDescent="0.2">
      <c r="A65" s="30" t="s">
        <v>220</v>
      </c>
      <c r="B65" s="32" t="s">
        <v>50</v>
      </c>
      <c r="C65" s="31">
        <v>35130.468999999997</v>
      </c>
      <c r="D65" s="10"/>
      <c r="E65" s="1">
        <f t="shared" si="6"/>
        <v>-118.99597118063789</v>
      </c>
      <c r="F65" s="2">
        <f t="shared" si="7"/>
        <v>-119</v>
      </c>
      <c r="G65" s="1">
        <f t="shared" si="8"/>
        <v>5.3175999993982259E-2</v>
      </c>
      <c r="K65" s="1">
        <f t="shared" si="3"/>
        <v>5.3175999993982259E-2</v>
      </c>
      <c r="O65" s="2">
        <f t="shared" ca="1" si="9"/>
        <v>-3.2737897483600911E-2</v>
      </c>
      <c r="Q65" s="3">
        <f t="shared" si="10"/>
        <v>20111.968999999997</v>
      </c>
      <c r="R65" s="1"/>
    </row>
    <row r="66" spans="1:21" x14ac:dyDescent="0.2">
      <c r="A66" s="30" t="s">
        <v>151</v>
      </c>
      <c r="B66" s="32" t="s">
        <v>50</v>
      </c>
      <c r="C66" s="31">
        <v>35341.654999999999</v>
      </c>
      <c r="D66" s="10"/>
      <c r="E66" s="1">
        <f t="shared" si="6"/>
        <v>-102.99570327960599</v>
      </c>
      <c r="F66" s="2">
        <f t="shared" si="7"/>
        <v>-103</v>
      </c>
      <c r="G66" s="1">
        <f t="shared" si="8"/>
        <v>5.6711999997787643E-2</v>
      </c>
      <c r="K66" s="1">
        <f t="shared" si="3"/>
        <v>5.6711999997787643E-2</v>
      </c>
      <c r="O66" s="2">
        <f t="shared" ca="1" si="9"/>
        <v>-3.206282163990145E-2</v>
      </c>
      <c r="Q66" s="3">
        <f t="shared" si="10"/>
        <v>20323.154999999999</v>
      </c>
      <c r="R66" s="1"/>
    </row>
    <row r="67" spans="1:21" x14ac:dyDescent="0.2">
      <c r="A67" s="30" t="s">
        <v>220</v>
      </c>
      <c r="B67" s="32" t="s">
        <v>50</v>
      </c>
      <c r="C67" s="31">
        <v>35420.839999999997</v>
      </c>
      <c r="D67" s="10"/>
      <c r="E67" s="1">
        <f t="shared" si="6"/>
        <v>-96.996341514417182</v>
      </c>
      <c r="F67" s="2">
        <f t="shared" si="7"/>
        <v>-97</v>
      </c>
      <c r="G67" s="1">
        <f t="shared" si="8"/>
        <v>4.8287999990861863E-2</v>
      </c>
      <c r="K67" s="1">
        <f t="shared" si="3"/>
        <v>4.8287999990861863E-2</v>
      </c>
      <c r="O67" s="2">
        <f t="shared" ca="1" si="9"/>
        <v>-3.1809668198514149E-2</v>
      </c>
      <c r="Q67" s="3">
        <f t="shared" si="10"/>
        <v>20402.339999999997</v>
      </c>
      <c r="R67" s="1"/>
    </row>
    <row r="68" spans="1:21" x14ac:dyDescent="0.2">
      <c r="A68" s="30" t="s">
        <v>220</v>
      </c>
      <c r="B68" s="32" t="s">
        <v>50</v>
      </c>
      <c r="C68" s="31">
        <v>35698.019999999997</v>
      </c>
      <c r="D68" s="10"/>
      <c r="E68" s="1">
        <f t="shared" si="6"/>
        <v>-75.996113010595934</v>
      </c>
      <c r="F68" s="2">
        <f t="shared" si="7"/>
        <v>-76</v>
      </c>
      <c r="G68" s="1">
        <f t="shared" si="8"/>
        <v>5.1303999993251637E-2</v>
      </c>
      <c r="K68" s="1">
        <f t="shared" si="3"/>
        <v>5.1303999993251637E-2</v>
      </c>
      <c r="O68" s="2">
        <f t="shared" ca="1" si="9"/>
        <v>-3.0923631153658603E-2</v>
      </c>
      <c r="Q68" s="3">
        <f t="shared" si="10"/>
        <v>20679.519999999997</v>
      </c>
      <c r="R68" s="1"/>
    </row>
    <row r="69" spans="1:21" x14ac:dyDescent="0.2">
      <c r="A69" s="1" t="s">
        <v>2</v>
      </c>
      <c r="C69" s="7">
        <v>36701.085400000004</v>
      </c>
      <c r="D69" s="7"/>
      <c r="E69" s="1">
        <f t="shared" si="6"/>
        <v>0</v>
      </c>
      <c r="F69" s="2">
        <f t="shared" si="7"/>
        <v>0</v>
      </c>
      <c r="G69" s="1">
        <f t="shared" si="8"/>
        <v>0</v>
      </c>
      <c r="H69" s="1">
        <f>G69</f>
        <v>0</v>
      </c>
      <c r="O69" s="2">
        <f t="shared" ca="1" si="9"/>
        <v>-2.7717020896086152E-2</v>
      </c>
      <c r="Q69" s="3">
        <f t="shared" si="10"/>
        <v>21682.585400000004</v>
      </c>
      <c r="R69" s="1"/>
    </row>
    <row r="70" spans="1:21" x14ac:dyDescent="0.2">
      <c r="A70" s="1" t="s">
        <v>28</v>
      </c>
      <c r="C70" s="7">
        <v>37730.6</v>
      </c>
      <c r="D70" s="7"/>
      <c r="E70" s="1">
        <f t="shared" si="6"/>
        <v>78.000006667219864</v>
      </c>
      <c r="F70" s="2">
        <f t="shared" si="7"/>
        <v>78</v>
      </c>
      <c r="G70" s="1">
        <f t="shared" si="8"/>
        <v>8.7999993411358446E-5</v>
      </c>
      <c r="K70" s="1">
        <f>+G70</f>
        <v>8.7999993411358446E-5</v>
      </c>
      <c r="O70" s="2">
        <f t="shared" ca="1" si="9"/>
        <v>-2.442602615805127E-2</v>
      </c>
      <c r="Q70" s="3">
        <f t="shared" si="10"/>
        <v>22712.1</v>
      </c>
      <c r="R70" s="1"/>
    </row>
    <row r="71" spans="1:21" x14ac:dyDescent="0.2">
      <c r="A71" s="1" t="s">
        <v>28</v>
      </c>
      <c r="C71" s="7">
        <v>37902.201000000001</v>
      </c>
      <c r="D71" s="7"/>
      <c r="E71" s="1">
        <f t="shared" si="6"/>
        <v>91.001161914655739</v>
      </c>
      <c r="F71" s="2">
        <f t="shared" si="7"/>
        <v>91</v>
      </c>
      <c r="G71" s="1">
        <f t="shared" si="8"/>
        <v>1.5335999996750616E-2</v>
      </c>
      <c r="K71" s="1">
        <f>+G71</f>
        <v>1.5335999996750616E-2</v>
      </c>
      <c r="O71" s="2">
        <f t="shared" ca="1" si="9"/>
        <v>-2.3877527035045455E-2</v>
      </c>
      <c r="Q71" s="3">
        <f t="shared" si="10"/>
        <v>22883.701000000001</v>
      </c>
      <c r="R71" s="1"/>
    </row>
    <row r="72" spans="1:21" x14ac:dyDescent="0.2">
      <c r="A72" s="9" t="s">
        <v>28</v>
      </c>
      <c r="B72" s="9"/>
      <c r="C72" s="10">
        <v>38060.601999999999</v>
      </c>
      <c r="D72" s="10"/>
      <c r="E72" s="1">
        <f t="shared" si="6"/>
        <v>103.00223412489365</v>
      </c>
      <c r="F72" s="2">
        <f t="shared" si="7"/>
        <v>103</v>
      </c>
      <c r="G72" s="1">
        <f t="shared" si="8"/>
        <v>2.9487999992852565E-2</v>
      </c>
      <c r="K72" s="1">
        <f>+G72</f>
        <v>2.9487999992852565E-2</v>
      </c>
      <c r="O72" s="2">
        <f t="shared" ca="1" si="9"/>
        <v>-2.3371220152270857E-2</v>
      </c>
      <c r="Q72" s="3">
        <f t="shared" si="10"/>
        <v>23042.101999999999</v>
      </c>
      <c r="R72" s="1"/>
    </row>
    <row r="73" spans="1:21" x14ac:dyDescent="0.2">
      <c r="A73" s="11" t="s">
        <v>28</v>
      </c>
      <c r="B73" s="12" t="s">
        <v>50</v>
      </c>
      <c r="C73" s="11">
        <v>38380.493999999999</v>
      </c>
      <c r="D73" s="11" t="s">
        <v>53</v>
      </c>
      <c r="E73" s="1">
        <f t="shared" si="6"/>
        <v>127.23848889271375</v>
      </c>
      <c r="F73" s="2">
        <f t="shared" si="7"/>
        <v>127</v>
      </c>
      <c r="O73" s="2">
        <f t="shared" ca="1" si="9"/>
        <v>-2.2358606386721661E-2</v>
      </c>
      <c r="Q73" s="3">
        <f t="shared" si="10"/>
        <v>23361.993999999999</v>
      </c>
      <c r="R73" s="1"/>
      <c r="U73" s="1">
        <f>C73-(C$7+C$8*F73)</f>
        <v>3.1477919999961159</v>
      </c>
    </row>
    <row r="74" spans="1:21" x14ac:dyDescent="0.2">
      <c r="A74" s="9" t="s">
        <v>29</v>
      </c>
      <c r="B74" s="9"/>
      <c r="C74" s="10">
        <v>38456.53</v>
      </c>
      <c r="D74" s="10"/>
      <c r="E74" s="1">
        <f t="shared" si="6"/>
        <v>132.99927024243794</v>
      </c>
      <c r="F74" s="2">
        <f t="shared" si="7"/>
        <v>133</v>
      </c>
      <c r="G74" s="1">
        <f>C74-(C$7+C$8*F74)</f>
        <v>-9.6320000011473894E-3</v>
      </c>
      <c r="K74" s="1">
        <f>+G74</f>
        <v>-9.6320000011473894E-3</v>
      </c>
      <c r="O74" s="2">
        <f t="shared" ca="1" si="9"/>
        <v>-2.2105452945334364E-2</v>
      </c>
      <c r="Q74" s="3">
        <f t="shared" si="10"/>
        <v>23438.03</v>
      </c>
      <c r="R74" s="1"/>
    </row>
    <row r="75" spans="1:21" x14ac:dyDescent="0.2">
      <c r="A75" s="13" t="s">
        <v>37</v>
      </c>
      <c r="B75" s="12"/>
      <c r="C75" s="14">
        <v>38456.53</v>
      </c>
      <c r="D75" s="14"/>
      <c r="E75" s="1">
        <f t="shared" si="6"/>
        <v>132.99927024243794</v>
      </c>
      <c r="F75" s="2">
        <f t="shared" si="7"/>
        <v>133</v>
      </c>
      <c r="G75" s="1">
        <f>C75-(C$7+C$8*F75)</f>
        <v>-9.6320000011473894E-3</v>
      </c>
      <c r="K75" s="1">
        <f>G75</f>
        <v>-9.6320000011473894E-3</v>
      </c>
      <c r="O75" s="2">
        <f t="shared" ca="1" si="9"/>
        <v>-2.2105452945334364E-2</v>
      </c>
      <c r="Q75" s="3">
        <f t="shared" si="10"/>
        <v>23438.03</v>
      </c>
      <c r="R75" s="1"/>
    </row>
    <row r="76" spans="1:21" x14ac:dyDescent="0.2">
      <c r="A76" s="11" t="s">
        <v>28</v>
      </c>
      <c r="B76" s="12" t="s">
        <v>50</v>
      </c>
      <c r="C76" s="11">
        <v>38538.830999999998</v>
      </c>
      <c r="D76" s="11" t="s">
        <v>53</v>
      </c>
      <c r="E76" s="1">
        <f t="shared" si="6"/>
        <v>139.23471221549869</v>
      </c>
      <c r="F76" s="2">
        <f t="shared" si="7"/>
        <v>139</v>
      </c>
      <c r="G76" s="1">
        <f>C76-(C$7+C$8*F76)</f>
        <v>3.0979439999937313</v>
      </c>
      <c r="I76" s="1">
        <f>G76</f>
        <v>3.0979439999937313</v>
      </c>
      <c r="O76" s="2">
        <f t="shared" ca="1" si="9"/>
        <v>-2.1852299503947063E-2</v>
      </c>
      <c r="Q76" s="3">
        <f t="shared" si="10"/>
        <v>23520.330999999998</v>
      </c>
      <c r="R76" s="1"/>
    </row>
    <row r="77" spans="1:21" x14ac:dyDescent="0.2">
      <c r="A77" s="11" t="s">
        <v>28</v>
      </c>
      <c r="B77" s="12" t="s">
        <v>50</v>
      </c>
      <c r="C77" s="11">
        <v>38776.478999999999</v>
      </c>
      <c r="D77" s="11" t="s">
        <v>53</v>
      </c>
      <c r="E77" s="1">
        <f t="shared" si="6"/>
        <v>157.23984355064599</v>
      </c>
      <c r="F77" s="2">
        <f t="shared" si="7"/>
        <v>157</v>
      </c>
      <c r="O77" s="2">
        <f t="shared" ca="1" si="9"/>
        <v>-2.1092839179785168E-2</v>
      </c>
      <c r="Q77" s="3">
        <f t="shared" si="10"/>
        <v>23757.978999999999</v>
      </c>
      <c r="R77" s="1"/>
      <c r="U77" s="1">
        <f>C77-(C$7+C$8*F77)</f>
        <v>3.1656719999955385</v>
      </c>
    </row>
    <row r="78" spans="1:21" x14ac:dyDescent="0.2">
      <c r="A78" s="9" t="s">
        <v>39</v>
      </c>
      <c r="B78" s="9"/>
      <c r="C78" s="10">
        <v>39063.684000000001</v>
      </c>
      <c r="D78" s="10"/>
      <c r="E78" s="1">
        <f t="shared" si="6"/>
        <v>178.99960481567237</v>
      </c>
      <c r="F78" s="2">
        <f t="shared" si="7"/>
        <v>179</v>
      </c>
      <c r="G78" s="1">
        <f t="shared" ref="G78:G90" si="11">C78-(C$7+C$8*F78)</f>
        <v>-5.21600000502076E-3</v>
      </c>
      <c r="K78" s="1">
        <f>+G78</f>
        <v>-5.21600000502076E-3</v>
      </c>
      <c r="O78" s="2">
        <f t="shared" ca="1" si="9"/>
        <v>-2.0164609894698406E-2</v>
      </c>
      <c r="Q78" s="3">
        <f t="shared" si="10"/>
        <v>24045.184000000001</v>
      </c>
      <c r="R78" s="1"/>
    </row>
    <row r="79" spans="1:21" x14ac:dyDescent="0.2">
      <c r="A79" s="9" t="s">
        <v>28</v>
      </c>
      <c r="B79" s="9"/>
      <c r="C79" s="10">
        <v>39063.735999999997</v>
      </c>
      <c r="D79" s="10"/>
      <c r="E79" s="1">
        <f t="shared" si="6"/>
        <v>179.0035445367277</v>
      </c>
      <c r="F79" s="2">
        <f t="shared" si="7"/>
        <v>179</v>
      </c>
      <c r="G79" s="1">
        <f t="shared" si="11"/>
        <v>4.6783999991021119E-2</v>
      </c>
      <c r="K79" s="1">
        <f>+G79</f>
        <v>4.6783999991021119E-2</v>
      </c>
      <c r="O79" s="2">
        <f t="shared" ca="1" si="9"/>
        <v>-2.0164609894698406E-2</v>
      </c>
      <c r="Q79" s="3">
        <f t="shared" si="10"/>
        <v>24045.235999999997</v>
      </c>
      <c r="R79" s="1"/>
    </row>
    <row r="80" spans="1:21" x14ac:dyDescent="0.2">
      <c r="A80" s="9" t="s">
        <v>39</v>
      </c>
      <c r="B80" s="9"/>
      <c r="C80" s="10">
        <v>39076.883000000002</v>
      </c>
      <c r="D80" s="10"/>
      <c r="E80" s="1">
        <f t="shared" si="6"/>
        <v>179.99961208900359</v>
      </c>
      <c r="F80" s="2">
        <f t="shared" si="7"/>
        <v>180</v>
      </c>
      <c r="G80" s="1">
        <f t="shared" si="11"/>
        <v>-5.1200000016251579E-3</v>
      </c>
      <c r="K80" s="1">
        <f>+G80</f>
        <v>-5.1200000016251579E-3</v>
      </c>
      <c r="O80" s="2">
        <f t="shared" ca="1" si="9"/>
        <v>-2.0122417654467189E-2</v>
      </c>
      <c r="Q80" s="3">
        <f t="shared" si="10"/>
        <v>24058.383000000002</v>
      </c>
      <c r="R80" s="1"/>
    </row>
    <row r="81" spans="1:34" x14ac:dyDescent="0.2">
      <c r="A81" s="9" t="s">
        <v>28</v>
      </c>
      <c r="B81" s="9"/>
      <c r="C81" s="10">
        <v>39380.493999999999</v>
      </c>
      <c r="D81" s="10"/>
      <c r="E81" s="1">
        <f t="shared" si="6"/>
        <v>203.00235534707997</v>
      </c>
      <c r="F81" s="2">
        <f t="shared" si="7"/>
        <v>203</v>
      </c>
      <c r="G81" s="1">
        <f t="shared" si="11"/>
        <v>3.1087999996088911E-2</v>
      </c>
      <c r="K81" s="1">
        <f>+G81</f>
        <v>3.1087999996088911E-2</v>
      </c>
      <c r="O81" s="2">
        <f t="shared" ca="1" si="9"/>
        <v>-1.915199612914921E-2</v>
      </c>
      <c r="Q81" s="3">
        <f t="shared" si="10"/>
        <v>24361.993999999999</v>
      </c>
      <c r="R81" s="1"/>
    </row>
    <row r="82" spans="1:34" x14ac:dyDescent="0.2">
      <c r="A82" s="9" t="s">
        <v>28</v>
      </c>
      <c r="B82" s="9"/>
      <c r="C82" s="10">
        <v>39538.830999999998</v>
      </c>
      <c r="D82" s="10"/>
      <c r="E82" s="1">
        <f t="shared" si="6"/>
        <v>214.99857866986491</v>
      </c>
      <c r="F82" s="2">
        <f t="shared" si="7"/>
        <v>215</v>
      </c>
      <c r="G82" s="1">
        <f t="shared" si="11"/>
        <v>-1.8760000006295741E-2</v>
      </c>
      <c r="K82" s="1">
        <f>+G82</f>
        <v>-1.8760000006295741E-2</v>
      </c>
      <c r="O82" s="2">
        <f t="shared" ca="1" si="9"/>
        <v>-1.8645689246374615E-2</v>
      </c>
      <c r="Q82" s="3">
        <f t="shared" si="10"/>
        <v>24520.330999999998</v>
      </c>
      <c r="R82" s="1"/>
    </row>
    <row r="83" spans="1:34" x14ac:dyDescent="0.2">
      <c r="A83" s="9" t="s">
        <v>28</v>
      </c>
      <c r="B83" s="9"/>
      <c r="C83" s="10">
        <v>39776.478999999999</v>
      </c>
      <c r="D83" s="10"/>
      <c r="E83" s="1">
        <f t="shared" si="6"/>
        <v>233.00371000501221</v>
      </c>
      <c r="F83" s="2">
        <f t="shared" si="7"/>
        <v>233</v>
      </c>
      <c r="G83" s="1">
        <f t="shared" si="11"/>
        <v>4.8967999995511491E-2</v>
      </c>
      <c r="K83" s="1">
        <f>+G83</f>
        <v>4.8967999995511491E-2</v>
      </c>
      <c r="O83" s="2">
        <f t="shared" ca="1" si="9"/>
        <v>-1.788622892221272E-2</v>
      </c>
      <c r="Q83" s="3">
        <f t="shared" si="10"/>
        <v>24757.978999999999</v>
      </c>
      <c r="R83" s="1"/>
    </row>
    <row r="84" spans="1:34" x14ac:dyDescent="0.2">
      <c r="A84" s="9" t="s">
        <v>39</v>
      </c>
      <c r="B84" s="9"/>
      <c r="C84" s="10">
        <v>39802.822</v>
      </c>
      <c r="D84" s="10"/>
      <c r="E84" s="1">
        <f t="shared" si="6"/>
        <v>234.99955753901963</v>
      </c>
      <c r="F84" s="2">
        <f t="shared" si="7"/>
        <v>235</v>
      </c>
      <c r="G84" s="1">
        <f t="shared" si="11"/>
        <v>-5.8400000052643009E-3</v>
      </c>
      <c r="K84" s="1">
        <f>+G84</f>
        <v>-5.8400000052643009E-3</v>
      </c>
      <c r="O84" s="2">
        <f t="shared" ca="1" si="9"/>
        <v>-1.7801844441750286E-2</v>
      </c>
      <c r="Q84" s="3">
        <f t="shared" si="10"/>
        <v>24784.322</v>
      </c>
      <c r="R84" s="1"/>
    </row>
    <row r="85" spans="1:34" x14ac:dyDescent="0.2">
      <c r="A85" s="9" t="s">
        <v>28</v>
      </c>
      <c r="B85" s="9"/>
      <c r="C85" s="10">
        <v>40317.612000000001</v>
      </c>
      <c r="D85" s="10"/>
      <c r="E85" s="1">
        <f t="shared" ref="E85:E109" si="12">(C85-C$7)/C$8</f>
        <v>274.00203835106288</v>
      </c>
      <c r="F85" s="2">
        <f t="shared" ref="F85:F109" si="13">ROUND(2*E85,0)/2</f>
        <v>274</v>
      </c>
      <c r="G85" s="1">
        <f t="shared" si="11"/>
        <v>2.6903999998467043E-2</v>
      </c>
      <c r="K85" s="1">
        <f>+G85</f>
        <v>2.6903999998467043E-2</v>
      </c>
      <c r="O85" s="2">
        <f t="shared" ref="O85:O109" ca="1" si="14">C$11+C$12*F85</f>
        <v>-1.6156347072732842E-2</v>
      </c>
      <c r="Q85" s="3">
        <f t="shared" ref="Q85:Q109" si="15">C85-15018.5</f>
        <v>25299.112000000001</v>
      </c>
      <c r="R85" s="1"/>
    </row>
    <row r="86" spans="1:34" x14ac:dyDescent="0.2">
      <c r="A86" s="9" t="s">
        <v>28</v>
      </c>
      <c r="B86" s="9"/>
      <c r="C86" s="10">
        <v>40858.728999999999</v>
      </c>
      <c r="D86" s="10"/>
      <c r="E86" s="1">
        <f t="shared" si="12"/>
        <v>314.99915447525001</v>
      </c>
      <c r="F86" s="2">
        <f t="shared" si="13"/>
        <v>315</v>
      </c>
      <c r="G86" s="1">
        <f t="shared" si="11"/>
        <v>-1.1160000001837034E-2</v>
      </c>
      <c r="K86" s="1">
        <f>+G86</f>
        <v>-1.1160000001837034E-2</v>
      </c>
      <c r="O86" s="2">
        <f t="shared" ca="1" si="14"/>
        <v>-1.4426465223252968E-2</v>
      </c>
      <c r="Q86" s="3">
        <f t="shared" si="15"/>
        <v>25840.228999999999</v>
      </c>
      <c r="R86" s="1"/>
    </row>
    <row r="87" spans="1:34" x14ac:dyDescent="0.2">
      <c r="A87" s="30" t="s">
        <v>274</v>
      </c>
      <c r="B87" s="32" t="s">
        <v>50</v>
      </c>
      <c r="C87" s="31">
        <v>40898.332999999999</v>
      </c>
      <c r="D87" s="10"/>
      <c r="E87" s="1">
        <f t="shared" si="12"/>
        <v>317.99970664230869</v>
      </c>
      <c r="F87" s="2">
        <f t="shared" si="13"/>
        <v>318</v>
      </c>
      <c r="G87" s="1">
        <f t="shared" si="11"/>
        <v>-3.8720000011380762E-3</v>
      </c>
      <c r="K87" s="1">
        <f>G87</f>
        <v>-3.8720000011380762E-3</v>
      </c>
      <c r="O87" s="2">
        <f t="shared" ca="1" si="14"/>
        <v>-1.4299888502559319E-2</v>
      </c>
      <c r="Q87" s="3">
        <f t="shared" si="15"/>
        <v>25879.832999999999</v>
      </c>
      <c r="R87" s="1"/>
    </row>
    <row r="88" spans="1:34" x14ac:dyDescent="0.2">
      <c r="A88" s="9" t="s">
        <v>28</v>
      </c>
      <c r="B88" s="9"/>
      <c r="C88" s="10">
        <v>40924.750999999997</v>
      </c>
      <c r="D88" s="10"/>
      <c r="E88" s="1">
        <f t="shared" si="12"/>
        <v>320.00123646629999</v>
      </c>
      <c r="F88" s="2">
        <f t="shared" si="13"/>
        <v>320</v>
      </c>
      <c r="G88" s="1">
        <f t="shared" si="11"/>
        <v>1.6319999995175749E-2</v>
      </c>
      <c r="K88" s="1">
        <f>+G88</f>
        <v>1.6319999995175749E-2</v>
      </c>
      <c r="O88" s="2">
        <f t="shared" ca="1" si="14"/>
        <v>-1.4215504022096885E-2</v>
      </c>
      <c r="Q88" s="3">
        <f t="shared" si="15"/>
        <v>25906.250999999997</v>
      </c>
      <c r="R88" s="1"/>
    </row>
    <row r="89" spans="1:34" x14ac:dyDescent="0.2">
      <c r="A89" s="9" t="s">
        <v>28</v>
      </c>
      <c r="B89" s="9"/>
      <c r="C89" s="10">
        <v>41056.712</v>
      </c>
      <c r="D89" s="10"/>
      <c r="E89" s="1">
        <f t="shared" si="12"/>
        <v>329.99911204748486</v>
      </c>
      <c r="F89" s="2">
        <f t="shared" si="13"/>
        <v>330</v>
      </c>
      <c r="G89" s="1">
        <f t="shared" si="11"/>
        <v>-1.1720000002242159E-2</v>
      </c>
      <c r="K89" s="1">
        <f>+G89</f>
        <v>-1.1720000002242159E-2</v>
      </c>
      <c r="O89" s="2">
        <f t="shared" ca="1" si="14"/>
        <v>-1.3793581619784721E-2</v>
      </c>
      <c r="Q89" s="3">
        <f t="shared" si="15"/>
        <v>26038.212</v>
      </c>
      <c r="R89" s="1"/>
    </row>
    <row r="90" spans="1:34" x14ac:dyDescent="0.2">
      <c r="A90" s="9" t="s">
        <v>28</v>
      </c>
      <c r="B90" s="9"/>
      <c r="C90" s="10">
        <v>41333.932000000001</v>
      </c>
      <c r="D90" s="10"/>
      <c r="E90" s="1">
        <f t="shared" si="12"/>
        <v>351.0023711059643</v>
      </c>
      <c r="F90" s="2">
        <f t="shared" si="13"/>
        <v>351</v>
      </c>
      <c r="G90" s="1">
        <f t="shared" si="11"/>
        <v>3.1295999993744772E-2</v>
      </c>
      <c r="K90" s="1">
        <f>+G90</f>
        <v>3.1295999993744772E-2</v>
      </c>
      <c r="O90" s="2">
        <f t="shared" ca="1" si="14"/>
        <v>-1.2907544574929175E-2</v>
      </c>
      <c r="Q90" s="3">
        <f t="shared" si="15"/>
        <v>26315.432000000001</v>
      </c>
      <c r="R90" s="1"/>
    </row>
    <row r="91" spans="1:34" x14ac:dyDescent="0.2">
      <c r="A91" s="9" t="s">
        <v>32</v>
      </c>
      <c r="B91" s="9"/>
      <c r="C91" s="10">
        <v>41595.345999999998</v>
      </c>
      <c r="D91" s="10"/>
      <c r="E91" s="6">
        <f t="shared" si="12"/>
        <v>370.80810649126579</v>
      </c>
      <c r="F91" s="2">
        <f t="shared" si="13"/>
        <v>371</v>
      </c>
      <c r="O91" s="2">
        <f t="shared" ca="1" si="14"/>
        <v>-1.2063699770304848E-2</v>
      </c>
      <c r="Q91" s="3">
        <f t="shared" si="15"/>
        <v>26576.845999999998</v>
      </c>
      <c r="R91" s="1"/>
      <c r="U91" s="1">
        <v>-2.5327840000027209</v>
      </c>
      <c r="AD91" s="1">
        <v>11</v>
      </c>
      <c r="AE91" s="1" t="s">
        <v>30</v>
      </c>
      <c r="AF91" s="1" t="s">
        <v>31</v>
      </c>
      <c r="AH91" s="1" t="s">
        <v>33</v>
      </c>
    </row>
    <row r="92" spans="1:34" x14ac:dyDescent="0.2">
      <c r="A92" s="9" t="s">
        <v>32</v>
      </c>
      <c r="B92" s="9"/>
      <c r="C92" s="10">
        <v>41606.315999999999</v>
      </c>
      <c r="D92" s="10"/>
      <c r="E92" s="6">
        <f t="shared" si="12"/>
        <v>371.63923610627029</v>
      </c>
      <c r="F92" s="2">
        <f t="shared" si="13"/>
        <v>371.5</v>
      </c>
      <c r="O92" s="2">
        <f t="shared" ca="1" si="14"/>
        <v>-1.2042603650189238E-2</v>
      </c>
      <c r="Q92" s="3">
        <f t="shared" si="15"/>
        <v>26587.815999999999</v>
      </c>
      <c r="R92" s="1"/>
      <c r="U92" s="1">
        <v>1.8377639999962412</v>
      </c>
      <c r="AD92" s="1">
        <v>10</v>
      </c>
      <c r="AE92" s="1" t="s">
        <v>30</v>
      </c>
      <c r="AF92" s="1" t="s">
        <v>31</v>
      </c>
      <c r="AH92" s="1" t="s">
        <v>33</v>
      </c>
    </row>
    <row r="93" spans="1:34" x14ac:dyDescent="0.2">
      <c r="A93" s="9" t="s">
        <v>32</v>
      </c>
      <c r="B93" s="9"/>
      <c r="C93" s="10">
        <v>41632.256000000001</v>
      </c>
      <c r="D93" s="10"/>
      <c r="E93" s="6">
        <f t="shared" si="12"/>
        <v>373.6045508020967</v>
      </c>
      <c r="F93" s="2">
        <f t="shared" si="13"/>
        <v>373.5</v>
      </c>
      <c r="O93" s="2">
        <f t="shared" ca="1" si="14"/>
        <v>-1.1958219169726805E-2</v>
      </c>
      <c r="Q93" s="3">
        <f t="shared" si="15"/>
        <v>26613.756000000001</v>
      </c>
      <c r="R93" s="1"/>
      <c r="U93" s="1">
        <v>1.379955999997037</v>
      </c>
      <c r="AD93" s="1">
        <v>5</v>
      </c>
      <c r="AE93" s="1" t="s">
        <v>30</v>
      </c>
      <c r="AF93" s="1" t="s">
        <v>31</v>
      </c>
      <c r="AH93" s="1" t="s">
        <v>33</v>
      </c>
    </row>
    <row r="94" spans="1:34" x14ac:dyDescent="0.2">
      <c r="A94" s="9" t="s">
        <v>32</v>
      </c>
      <c r="B94" s="9"/>
      <c r="C94" s="10">
        <v>41639.294999999998</v>
      </c>
      <c r="D94" s="10"/>
      <c r="E94" s="6">
        <f t="shared" si="12"/>
        <v>374.13785265806877</v>
      </c>
      <c r="F94" s="2">
        <f t="shared" si="13"/>
        <v>374</v>
      </c>
      <c r="O94" s="2">
        <f t="shared" ca="1" si="14"/>
        <v>-1.1937123049611198E-2</v>
      </c>
      <c r="Q94" s="3">
        <f t="shared" si="15"/>
        <v>26620.794999999998</v>
      </c>
      <c r="R94" s="1"/>
      <c r="U94" s="1">
        <v>1.8195039999918663</v>
      </c>
      <c r="AD94" s="1">
        <v>14</v>
      </c>
      <c r="AE94" s="1" t="s">
        <v>30</v>
      </c>
      <c r="AF94" s="1" t="s">
        <v>31</v>
      </c>
      <c r="AH94" s="1" t="s">
        <v>33</v>
      </c>
    </row>
    <row r="95" spans="1:34" x14ac:dyDescent="0.2">
      <c r="A95" s="9" t="s">
        <v>32</v>
      </c>
      <c r="B95" s="9"/>
      <c r="C95" s="10">
        <v>41649.214</v>
      </c>
      <c r="D95" s="10"/>
      <c r="E95" s="6">
        <f t="shared" si="12"/>
        <v>374.88935444942973</v>
      </c>
      <c r="F95" s="2">
        <f t="shared" si="13"/>
        <v>375</v>
      </c>
      <c r="O95" s="2">
        <f t="shared" ca="1" si="14"/>
        <v>-1.1894930809379981E-2</v>
      </c>
      <c r="Q95" s="3">
        <f t="shared" si="15"/>
        <v>26630.714</v>
      </c>
      <c r="R95" s="1"/>
      <c r="U95" s="1">
        <v>-1.460400000003574</v>
      </c>
      <c r="AD95" s="1">
        <v>7</v>
      </c>
      <c r="AE95" s="1" t="s">
        <v>30</v>
      </c>
      <c r="AF95" s="1" t="s">
        <v>31</v>
      </c>
      <c r="AH95" s="1" t="s">
        <v>33</v>
      </c>
    </row>
    <row r="96" spans="1:34" x14ac:dyDescent="0.2">
      <c r="A96" s="9" t="s">
        <v>28</v>
      </c>
      <c r="B96" s="9"/>
      <c r="C96" s="10">
        <v>41650.663</v>
      </c>
      <c r="D96" s="10"/>
      <c r="E96" s="1">
        <f t="shared" si="12"/>
        <v>374.99913629192218</v>
      </c>
      <c r="F96" s="2">
        <f t="shared" si="13"/>
        <v>375</v>
      </c>
      <c r="G96" s="1">
        <f t="shared" ref="G96:G109" si="16">C96-(C$7+C$8*F96)</f>
        <v>-1.1400000003050081E-2</v>
      </c>
      <c r="K96" s="1">
        <f>+G96</f>
        <v>-1.1400000003050081E-2</v>
      </c>
      <c r="O96" s="2">
        <f t="shared" ca="1" si="14"/>
        <v>-1.1894930809379981E-2</v>
      </c>
      <c r="Q96" s="3">
        <f t="shared" si="15"/>
        <v>26632.163</v>
      </c>
      <c r="R96" s="1"/>
    </row>
    <row r="97" spans="1:34" x14ac:dyDescent="0.2">
      <c r="A97" s="9" t="s">
        <v>34</v>
      </c>
      <c r="B97" s="9"/>
      <c r="C97" s="10">
        <v>43775.627</v>
      </c>
      <c r="D97" s="10"/>
      <c r="E97" s="1">
        <f t="shared" si="12"/>
        <v>535.99462500825803</v>
      </c>
      <c r="F97" s="2">
        <f t="shared" si="13"/>
        <v>536</v>
      </c>
      <c r="G97" s="1">
        <f t="shared" si="16"/>
        <v>-7.0944000006420538E-2</v>
      </c>
      <c r="K97" s="1">
        <f>G97</f>
        <v>-7.0944000006420538E-2</v>
      </c>
      <c r="O97" s="2">
        <f t="shared" ca="1" si="14"/>
        <v>-5.1019801321541304E-3</v>
      </c>
      <c r="Q97" s="3">
        <f t="shared" si="15"/>
        <v>28757.127</v>
      </c>
      <c r="R97" s="1"/>
      <c r="AD97" s="1">
        <v>6</v>
      </c>
      <c r="AE97" s="1" t="s">
        <v>30</v>
      </c>
      <c r="AF97" s="1" t="s">
        <v>31</v>
      </c>
      <c r="AH97" s="1" t="s">
        <v>33</v>
      </c>
    </row>
    <row r="98" spans="1:34" x14ac:dyDescent="0.2">
      <c r="A98" s="9" t="s">
        <v>35</v>
      </c>
      <c r="B98" s="9"/>
      <c r="C98" s="10">
        <v>45227.584000000003</v>
      </c>
      <c r="D98" s="10"/>
      <c r="E98" s="1">
        <f t="shared" si="12"/>
        <v>646.00050125374037</v>
      </c>
      <c r="F98" s="2">
        <f t="shared" si="13"/>
        <v>646</v>
      </c>
      <c r="G98" s="1">
        <f t="shared" si="16"/>
        <v>6.6159999987576157E-3</v>
      </c>
      <c r="K98" s="1">
        <f>G98</f>
        <v>6.6159999987576157E-3</v>
      </c>
      <c r="O98" s="2">
        <f t="shared" ca="1" si="14"/>
        <v>-4.6083370672032192E-4</v>
      </c>
      <c r="Q98" s="3">
        <f t="shared" si="15"/>
        <v>30209.084000000003</v>
      </c>
      <c r="R98" s="1"/>
      <c r="AD98" s="1">
        <v>6</v>
      </c>
      <c r="AE98" s="1" t="s">
        <v>30</v>
      </c>
      <c r="AF98" s="1" t="s">
        <v>31</v>
      </c>
      <c r="AH98" s="1" t="s">
        <v>33</v>
      </c>
    </row>
    <row r="99" spans="1:34" x14ac:dyDescent="0.2">
      <c r="A99" s="30" t="s">
        <v>297</v>
      </c>
      <c r="B99" s="32" t="s">
        <v>50</v>
      </c>
      <c r="C99" s="31">
        <v>45280.401299999998</v>
      </c>
      <c r="D99" s="10"/>
      <c r="E99" s="1">
        <f t="shared" si="12"/>
        <v>650.00214411742013</v>
      </c>
      <c r="F99" s="2">
        <f t="shared" si="13"/>
        <v>650</v>
      </c>
      <c r="G99" s="1">
        <f t="shared" si="16"/>
        <v>2.8299999990849756E-2</v>
      </c>
      <c r="K99" s="1">
        <f>G99</f>
        <v>2.8299999990849756E-2</v>
      </c>
      <c r="O99" s="2">
        <f t="shared" ca="1" si="14"/>
        <v>-2.9206474579545477E-4</v>
      </c>
      <c r="Q99" s="3">
        <f t="shared" si="15"/>
        <v>30261.901299999998</v>
      </c>
      <c r="R99" s="1"/>
    </row>
    <row r="100" spans="1:34" x14ac:dyDescent="0.2">
      <c r="A100" s="9" t="s">
        <v>3</v>
      </c>
      <c r="B100" s="9"/>
      <c r="C100" s="10">
        <v>47207.425999999999</v>
      </c>
      <c r="D100" s="10"/>
      <c r="E100" s="1">
        <f t="shared" si="12"/>
        <v>796.00098614248543</v>
      </c>
      <c r="F100" s="2">
        <f t="shared" si="13"/>
        <v>796</v>
      </c>
      <c r="G100" s="1">
        <f t="shared" si="16"/>
        <v>1.3015999997151084E-2</v>
      </c>
      <c r="K100" s="1">
        <f>G100</f>
        <v>1.3015999997151084E-2</v>
      </c>
      <c r="O100" s="2">
        <f t="shared" ca="1" si="14"/>
        <v>5.8680023279621477E-3</v>
      </c>
      <c r="Q100" s="3">
        <f t="shared" si="15"/>
        <v>32188.925999999999</v>
      </c>
      <c r="R100" s="1"/>
    </row>
    <row r="101" spans="1:34" x14ac:dyDescent="0.2">
      <c r="A101" s="30" t="s">
        <v>307</v>
      </c>
      <c r="B101" s="32" t="s">
        <v>50</v>
      </c>
      <c r="C101" s="31">
        <v>48170.95</v>
      </c>
      <c r="D101" s="10"/>
      <c r="E101" s="1">
        <f t="shared" si="12"/>
        <v>869.00128980406203</v>
      </c>
      <c r="F101" s="2">
        <f t="shared" si="13"/>
        <v>869</v>
      </c>
      <c r="G101" s="1">
        <f t="shared" si="16"/>
        <v>1.702399999339832E-2</v>
      </c>
      <c r="K101" s="1">
        <f>G101</f>
        <v>1.702399999339832E-2</v>
      </c>
      <c r="O101" s="2">
        <f t="shared" ca="1" si="14"/>
        <v>8.9480358648409489E-3</v>
      </c>
      <c r="Q101" s="3">
        <f t="shared" si="15"/>
        <v>33152.449999999997</v>
      </c>
      <c r="R101" s="1"/>
    </row>
    <row r="102" spans="1:34" x14ac:dyDescent="0.2">
      <c r="A102" s="30" t="s">
        <v>312</v>
      </c>
      <c r="B102" s="32" t="s">
        <v>50</v>
      </c>
      <c r="C102" s="31">
        <v>51140.7</v>
      </c>
      <c r="D102" s="10"/>
      <c r="E102" s="1">
        <f t="shared" si="12"/>
        <v>1094.0010322069161</v>
      </c>
      <c r="F102" s="2">
        <f t="shared" si="13"/>
        <v>1094</v>
      </c>
      <c r="G102" s="1">
        <f t="shared" si="16"/>
        <v>1.3623999991978053E-2</v>
      </c>
      <c r="K102" s="1">
        <f>G102</f>
        <v>1.3623999991978053E-2</v>
      </c>
      <c r="O102" s="2">
        <f t="shared" ca="1" si="14"/>
        <v>1.8441289916864653E-2</v>
      </c>
      <c r="Q102" s="3">
        <f t="shared" si="15"/>
        <v>36122.199999999997</v>
      </c>
      <c r="R102" s="1"/>
    </row>
    <row r="103" spans="1:34" x14ac:dyDescent="0.2">
      <c r="A103" s="11" t="s">
        <v>55</v>
      </c>
      <c r="B103" s="12" t="s">
        <v>50</v>
      </c>
      <c r="C103" s="11">
        <v>53133.684999999998</v>
      </c>
      <c r="D103" s="11" t="s">
        <v>56</v>
      </c>
      <c r="E103" s="1">
        <f t="shared" si="12"/>
        <v>1244.9972815924712</v>
      </c>
      <c r="F103" s="2">
        <f t="shared" si="13"/>
        <v>1245</v>
      </c>
      <c r="G103" s="1">
        <f t="shared" si="16"/>
        <v>-3.588000001036562E-2</v>
      </c>
      <c r="K103" s="1">
        <f>G103</f>
        <v>-3.588000001036562E-2</v>
      </c>
      <c r="O103" s="2">
        <f t="shared" ca="1" si="14"/>
        <v>2.4812318191778336E-2</v>
      </c>
      <c r="Q103" s="3">
        <f t="shared" si="15"/>
        <v>38115.184999999998</v>
      </c>
      <c r="R103" s="1"/>
    </row>
    <row r="104" spans="1:34" x14ac:dyDescent="0.2">
      <c r="A104" s="11" t="s">
        <v>54</v>
      </c>
      <c r="B104" s="12" t="s">
        <v>50</v>
      </c>
      <c r="C104" s="11">
        <v>54084.067999999999</v>
      </c>
      <c r="D104" s="11">
        <v>1.1900000000000001E-2</v>
      </c>
      <c r="E104" s="1">
        <f t="shared" si="12"/>
        <v>1317.0019722849711</v>
      </c>
      <c r="F104" s="2">
        <f t="shared" si="13"/>
        <v>1317</v>
      </c>
      <c r="G104" s="1">
        <f t="shared" si="16"/>
        <v>2.6031999994302168E-2</v>
      </c>
      <c r="J104" s="1">
        <f>G104</f>
        <v>2.6031999994302168E-2</v>
      </c>
      <c r="O104" s="2">
        <f t="shared" ca="1" si="14"/>
        <v>2.7850159488425917E-2</v>
      </c>
      <c r="Q104" s="3">
        <f t="shared" si="15"/>
        <v>39065.567999999999</v>
      </c>
      <c r="R104" s="1"/>
    </row>
    <row r="105" spans="1:34" x14ac:dyDescent="0.2">
      <c r="A105" s="11" t="s">
        <v>54</v>
      </c>
      <c r="B105" s="12" t="s">
        <v>50</v>
      </c>
      <c r="C105" s="11">
        <v>54387.635900000001</v>
      </c>
      <c r="D105" s="11">
        <v>3.5000000000000001E-3</v>
      </c>
      <c r="E105" s="1">
        <f t="shared" si="12"/>
        <v>1340.0014501204037</v>
      </c>
      <c r="F105" s="2">
        <f t="shared" si="13"/>
        <v>1340</v>
      </c>
      <c r="G105" s="1">
        <f t="shared" si="16"/>
        <v>1.9139999996696133E-2</v>
      </c>
      <c r="J105" s="1">
        <f>G105</f>
        <v>1.9139999996696133E-2</v>
      </c>
      <c r="O105" s="2">
        <f t="shared" ca="1" si="14"/>
        <v>2.88205810137439E-2</v>
      </c>
      <c r="Q105" s="3">
        <f t="shared" si="15"/>
        <v>39369.135900000001</v>
      </c>
      <c r="R105" s="1"/>
    </row>
    <row r="106" spans="1:34" x14ac:dyDescent="0.2">
      <c r="A106" s="14" t="s">
        <v>49</v>
      </c>
      <c r="B106" s="38" t="s">
        <v>50</v>
      </c>
      <c r="C106" s="14">
        <v>54506.427000000003</v>
      </c>
      <c r="D106" s="14">
        <v>1.2999999999999999E-3</v>
      </c>
      <c r="E106" s="1">
        <f t="shared" si="12"/>
        <v>1349.0015231567711</v>
      </c>
      <c r="F106" s="2">
        <f t="shared" si="13"/>
        <v>1349</v>
      </c>
      <c r="G106" s="1">
        <f t="shared" si="16"/>
        <v>2.0104000002902467E-2</v>
      </c>
      <c r="J106" s="1">
        <f>G106</f>
        <v>2.0104000002902467E-2</v>
      </c>
      <c r="O106" s="2">
        <f t="shared" ca="1" si="14"/>
        <v>2.9200311175824847E-2</v>
      </c>
      <c r="Q106" s="3">
        <f t="shared" si="15"/>
        <v>39487.927000000003</v>
      </c>
      <c r="R106" s="1"/>
    </row>
    <row r="107" spans="1:34" x14ac:dyDescent="0.2">
      <c r="A107" s="30" t="s">
        <v>337</v>
      </c>
      <c r="B107" s="32" t="s">
        <v>50</v>
      </c>
      <c r="C107" s="31">
        <v>54757.212</v>
      </c>
      <c r="D107" s="10"/>
      <c r="E107" s="1">
        <f t="shared" si="12"/>
        <v>1368.001964405529</v>
      </c>
      <c r="F107" s="2">
        <f t="shared" si="13"/>
        <v>1368</v>
      </c>
      <c r="G107" s="1">
        <f t="shared" si="16"/>
        <v>2.5927999995474238E-2</v>
      </c>
      <c r="K107" s="1">
        <f>G107</f>
        <v>2.5927999995474238E-2</v>
      </c>
      <c r="O107" s="2">
        <f t="shared" ca="1" si="14"/>
        <v>3.0001963740217963E-2</v>
      </c>
      <c r="Q107" s="3">
        <f t="shared" si="15"/>
        <v>39738.712</v>
      </c>
      <c r="R107" s="1"/>
    </row>
    <row r="108" spans="1:34" x14ac:dyDescent="0.2">
      <c r="A108" s="30" t="s">
        <v>344</v>
      </c>
      <c r="B108" s="32" t="s">
        <v>50</v>
      </c>
      <c r="C108" s="31">
        <v>56605.084699999999</v>
      </c>
      <c r="D108" s="10"/>
      <c r="E108" s="1">
        <f t="shared" si="12"/>
        <v>1508.0039448729981</v>
      </c>
      <c r="F108" s="2">
        <f t="shared" si="13"/>
        <v>1508</v>
      </c>
      <c r="G108" s="1">
        <f t="shared" si="16"/>
        <v>5.2067999997234438E-2</v>
      </c>
      <c r="K108" s="1">
        <f>G108</f>
        <v>5.2067999997234438E-2</v>
      </c>
      <c r="O108" s="2">
        <f t="shared" ca="1" si="14"/>
        <v>3.5908877372588265E-2</v>
      </c>
      <c r="Q108" s="3">
        <f t="shared" si="15"/>
        <v>41586.584699999999</v>
      </c>
      <c r="R108" s="1"/>
    </row>
    <row r="109" spans="1:34" x14ac:dyDescent="0.2">
      <c r="A109" s="36" t="s">
        <v>58</v>
      </c>
      <c r="B109" s="39" t="s">
        <v>50</v>
      </c>
      <c r="C109" s="41">
        <v>57027.451000000001</v>
      </c>
      <c r="D109" s="41">
        <v>0.02</v>
      </c>
      <c r="E109" s="1">
        <f t="shared" si="12"/>
        <v>1540.0040488210229</v>
      </c>
      <c r="F109" s="2">
        <f t="shared" si="13"/>
        <v>1540</v>
      </c>
      <c r="G109" s="1">
        <f t="shared" si="16"/>
        <v>5.3439999996044207E-2</v>
      </c>
      <c r="L109" s="1">
        <f>G109</f>
        <v>5.3439999996044207E-2</v>
      </c>
      <c r="O109" s="2">
        <f t="shared" ca="1" si="14"/>
        <v>3.7259029059987188E-2</v>
      </c>
      <c r="Q109" s="3">
        <f t="shared" si="15"/>
        <v>42008.951000000001</v>
      </c>
      <c r="R109" s="1"/>
    </row>
    <row r="110" spans="1:34" x14ac:dyDescent="0.2">
      <c r="A110" s="42" t="s">
        <v>351</v>
      </c>
      <c r="B110" s="43" t="s">
        <v>352</v>
      </c>
      <c r="C110" s="84">
        <v>59482.466899999999</v>
      </c>
      <c r="D110" s="85">
        <v>2.0999999999999999E-3</v>
      </c>
      <c r="E110" s="1">
        <f t="shared" ref="E110" si="17">(C110-C$7)/C$8</f>
        <v>1726.0055456119685</v>
      </c>
      <c r="F110" s="2">
        <f t="shared" ref="F110" si="18">ROUND(2*E110,0)/2</f>
        <v>1726</v>
      </c>
      <c r="G110" s="1">
        <f t="shared" ref="G110" si="19">C110-(C$7+C$8*F110)</f>
        <v>7.3195999997551553E-2</v>
      </c>
      <c r="L110" s="1">
        <f>G110</f>
        <v>7.3195999997551553E-2</v>
      </c>
      <c r="O110" s="2">
        <f t="shared" ref="O110" ca="1" si="20">C$11+C$12*F110</f>
        <v>4.5106785742993448E-2</v>
      </c>
      <c r="Q110" s="3">
        <f t="shared" ref="Q110" si="21">C110-15018.5</f>
        <v>44463.966899999999</v>
      </c>
    </row>
    <row r="111" spans="1:34" x14ac:dyDescent="0.2">
      <c r="A111" s="9"/>
      <c r="B111" s="33"/>
      <c r="C111" s="10"/>
      <c r="D111" s="10"/>
    </row>
    <row r="112" spans="1:34" x14ac:dyDescent="0.2">
      <c r="A112" s="9"/>
      <c r="B112" s="33"/>
      <c r="C112" s="10"/>
      <c r="D112" s="10"/>
    </row>
    <row r="113" spans="1:4" x14ac:dyDescent="0.2">
      <c r="A113" s="9"/>
      <c r="B113" s="33"/>
      <c r="C113" s="10"/>
      <c r="D113" s="10"/>
    </row>
    <row r="114" spans="1:4" x14ac:dyDescent="0.2">
      <c r="A114" s="9"/>
      <c r="B114" s="33"/>
      <c r="C114" s="10"/>
      <c r="D114" s="10"/>
    </row>
    <row r="115" spans="1:4" x14ac:dyDescent="0.2">
      <c r="A115" s="9"/>
      <c r="B115" s="33"/>
      <c r="C115" s="10"/>
      <c r="D115" s="10"/>
    </row>
    <row r="116" spans="1:4" x14ac:dyDescent="0.2">
      <c r="A116" s="9"/>
      <c r="B116" s="33"/>
      <c r="C116" s="10"/>
      <c r="D116" s="10"/>
    </row>
    <row r="117" spans="1:4" x14ac:dyDescent="0.2">
      <c r="A117" s="9"/>
      <c r="B117" s="33"/>
      <c r="C117" s="10"/>
      <c r="D117" s="10"/>
    </row>
    <row r="118" spans="1:4" x14ac:dyDescent="0.2">
      <c r="A118" s="9"/>
      <c r="B118" s="33"/>
      <c r="C118" s="10"/>
      <c r="D118" s="10"/>
    </row>
    <row r="119" spans="1:4" x14ac:dyDescent="0.2">
      <c r="A119" s="9"/>
      <c r="B119" s="33"/>
      <c r="C119" s="10"/>
      <c r="D119" s="10"/>
    </row>
    <row r="120" spans="1:4" x14ac:dyDescent="0.2">
      <c r="A120" s="9"/>
      <c r="B120" s="33"/>
      <c r="C120" s="10"/>
      <c r="D120" s="10"/>
    </row>
    <row r="121" spans="1:4" x14ac:dyDescent="0.2">
      <c r="A121" s="9"/>
      <c r="B121" s="33"/>
      <c r="C121" s="10"/>
      <c r="D121" s="10"/>
    </row>
    <row r="122" spans="1:4" x14ac:dyDescent="0.2">
      <c r="A122" s="9"/>
      <c r="B122" s="33"/>
      <c r="C122" s="10"/>
      <c r="D122" s="10"/>
    </row>
    <row r="123" spans="1:4" x14ac:dyDescent="0.2">
      <c r="A123" s="9"/>
      <c r="B123" s="33"/>
      <c r="C123" s="10"/>
      <c r="D123" s="10"/>
    </row>
    <row r="124" spans="1:4" x14ac:dyDescent="0.2">
      <c r="A124" s="9"/>
      <c r="B124" s="33"/>
      <c r="C124" s="10"/>
      <c r="D124" s="10"/>
    </row>
    <row r="125" spans="1:4" x14ac:dyDescent="0.2">
      <c r="A125" s="9"/>
      <c r="B125" s="33"/>
      <c r="C125" s="10"/>
      <c r="D125" s="10"/>
    </row>
    <row r="126" spans="1:4" x14ac:dyDescent="0.2">
      <c r="A126" s="9"/>
      <c r="B126" s="33"/>
      <c r="C126" s="10"/>
      <c r="D126" s="10"/>
    </row>
    <row r="127" spans="1:4" x14ac:dyDescent="0.2">
      <c r="A127" s="9"/>
      <c r="B127" s="33"/>
      <c r="C127" s="10"/>
      <c r="D127" s="10"/>
    </row>
    <row r="128" spans="1:4" x14ac:dyDescent="0.2">
      <c r="B128" s="34"/>
      <c r="C128" s="7"/>
      <c r="D128" s="7"/>
    </row>
    <row r="129" spans="2:4" x14ac:dyDescent="0.2">
      <c r="B129" s="34"/>
      <c r="C129" s="7"/>
      <c r="D129" s="7"/>
    </row>
    <row r="130" spans="2:4" x14ac:dyDescent="0.2">
      <c r="B130" s="34"/>
      <c r="C130" s="7"/>
      <c r="D130" s="7"/>
    </row>
    <row r="131" spans="2:4" x14ac:dyDescent="0.2">
      <c r="B131" s="34"/>
      <c r="C131" s="7"/>
      <c r="D131" s="7"/>
    </row>
    <row r="132" spans="2:4" x14ac:dyDescent="0.2">
      <c r="B132" s="34"/>
      <c r="C132" s="7"/>
      <c r="D132" s="7"/>
    </row>
    <row r="133" spans="2:4" x14ac:dyDescent="0.2">
      <c r="B133" s="34"/>
      <c r="C133" s="7"/>
      <c r="D133" s="7"/>
    </row>
    <row r="134" spans="2:4" x14ac:dyDescent="0.2">
      <c r="B134" s="34"/>
      <c r="C134" s="7"/>
      <c r="D134" s="7"/>
    </row>
    <row r="135" spans="2:4" x14ac:dyDescent="0.2">
      <c r="B135" s="34"/>
      <c r="C135" s="7"/>
      <c r="D135" s="7"/>
    </row>
    <row r="136" spans="2:4" x14ac:dyDescent="0.2">
      <c r="B136" s="34"/>
      <c r="C136" s="7"/>
      <c r="D136" s="7"/>
    </row>
    <row r="137" spans="2:4" x14ac:dyDescent="0.2">
      <c r="B137" s="34"/>
      <c r="C137" s="7"/>
      <c r="D137" s="7"/>
    </row>
    <row r="138" spans="2:4" x14ac:dyDescent="0.2">
      <c r="B138" s="34"/>
      <c r="C138" s="7"/>
      <c r="D138" s="7"/>
    </row>
    <row r="139" spans="2:4" x14ac:dyDescent="0.2">
      <c r="B139" s="34"/>
      <c r="C139" s="7"/>
      <c r="D139" s="7"/>
    </row>
    <row r="140" spans="2:4" x14ac:dyDescent="0.2">
      <c r="B140" s="34"/>
      <c r="C140" s="7"/>
      <c r="D140" s="7"/>
    </row>
    <row r="141" spans="2:4" x14ac:dyDescent="0.2">
      <c r="B141" s="34"/>
      <c r="C141" s="7"/>
      <c r="D141" s="7"/>
    </row>
    <row r="142" spans="2:4" x14ac:dyDescent="0.2">
      <c r="B142" s="34"/>
      <c r="C142" s="7"/>
      <c r="D142" s="7"/>
    </row>
    <row r="143" spans="2:4" x14ac:dyDescent="0.2">
      <c r="B143" s="34"/>
      <c r="C143" s="7"/>
      <c r="D143" s="7"/>
    </row>
    <row r="144" spans="2:4" x14ac:dyDescent="0.2">
      <c r="B144" s="34"/>
      <c r="C144" s="7"/>
      <c r="D144" s="7"/>
    </row>
    <row r="145" spans="2:4" x14ac:dyDescent="0.2">
      <c r="B145" s="34"/>
      <c r="C145" s="7"/>
      <c r="D145" s="7"/>
    </row>
    <row r="146" spans="2:4" x14ac:dyDescent="0.2">
      <c r="B146" s="34"/>
      <c r="C146" s="7"/>
      <c r="D146" s="7"/>
    </row>
    <row r="147" spans="2:4" x14ac:dyDescent="0.2">
      <c r="B147" s="34"/>
      <c r="C147" s="7"/>
      <c r="D147" s="7"/>
    </row>
    <row r="148" spans="2:4" x14ac:dyDescent="0.2">
      <c r="B148" s="34"/>
      <c r="C148" s="7"/>
      <c r="D148" s="7"/>
    </row>
    <row r="149" spans="2:4" x14ac:dyDescent="0.2">
      <c r="B149" s="34"/>
      <c r="C149" s="7"/>
      <c r="D149" s="7"/>
    </row>
    <row r="150" spans="2:4" x14ac:dyDescent="0.2">
      <c r="B150" s="34"/>
      <c r="C150" s="7"/>
      <c r="D150" s="7"/>
    </row>
    <row r="151" spans="2:4" x14ac:dyDescent="0.2">
      <c r="B151" s="34"/>
      <c r="C151" s="7"/>
      <c r="D151" s="7"/>
    </row>
    <row r="152" spans="2:4" x14ac:dyDescent="0.2">
      <c r="B152" s="34"/>
      <c r="C152" s="7"/>
      <c r="D152" s="7"/>
    </row>
    <row r="153" spans="2:4" x14ac:dyDescent="0.2">
      <c r="B153" s="34"/>
      <c r="C153" s="7"/>
      <c r="D153" s="7"/>
    </row>
    <row r="154" spans="2:4" x14ac:dyDescent="0.2">
      <c r="C154" s="7"/>
      <c r="D154" s="7"/>
    </row>
    <row r="155" spans="2:4" x14ac:dyDescent="0.2">
      <c r="C155" s="7"/>
      <c r="D155" s="7"/>
    </row>
    <row r="156" spans="2:4" x14ac:dyDescent="0.2">
      <c r="C156" s="7"/>
      <c r="D156" s="7"/>
    </row>
    <row r="157" spans="2:4" x14ac:dyDescent="0.2">
      <c r="C157" s="7"/>
      <c r="D157" s="7"/>
    </row>
    <row r="158" spans="2:4" x14ac:dyDescent="0.2">
      <c r="C158" s="7"/>
      <c r="D158" s="7"/>
    </row>
    <row r="159" spans="2:4" x14ac:dyDescent="0.2">
      <c r="C159" s="7"/>
      <c r="D159" s="7"/>
    </row>
    <row r="160" spans="2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5"/>
  <sheetViews>
    <sheetView topLeftCell="A41" workbookViewId="0">
      <selection activeCell="A35" sqref="A35:C88"/>
    </sheetView>
  </sheetViews>
  <sheetFormatPr defaultRowHeight="12.75" x14ac:dyDescent="0.2"/>
  <cols>
    <col min="1" max="1" width="19.7109375" style="17" customWidth="1"/>
    <col min="2" max="2" width="4.42578125" style="4" customWidth="1"/>
    <col min="3" max="3" width="12.7109375" style="17" customWidth="1"/>
    <col min="4" max="4" width="5.42578125" style="4" customWidth="1"/>
    <col min="5" max="5" width="14.85546875" style="4" customWidth="1"/>
    <col min="6" max="6" width="9.140625" style="4"/>
    <col min="7" max="7" width="12" style="4" customWidth="1"/>
    <col min="8" max="8" width="14.140625" style="17" customWidth="1"/>
    <col min="9" max="9" width="22.5703125" style="4" customWidth="1"/>
    <col min="10" max="10" width="25.140625" style="4" customWidth="1"/>
    <col min="11" max="11" width="15.7109375" style="4" customWidth="1"/>
    <col min="12" max="12" width="14.140625" style="4" customWidth="1"/>
    <col min="13" max="13" width="9.5703125" style="4" customWidth="1"/>
    <col min="14" max="14" width="14.140625" style="4" customWidth="1"/>
    <col min="15" max="15" width="23.42578125" style="4" customWidth="1"/>
    <col min="16" max="16" width="16.5703125" style="4" customWidth="1"/>
    <col min="17" max="17" width="41" style="4" customWidth="1"/>
    <col min="18" max="16384" width="9.140625" style="4"/>
  </cols>
  <sheetData>
    <row r="1" spans="1:16" ht="15.75" x14ac:dyDescent="0.25">
      <c r="A1" s="16" t="s">
        <v>59</v>
      </c>
      <c r="I1" s="18" t="s">
        <v>60</v>
      </c>
      <c r="J1" s="19" t="s">
        <v>61</v>
      </c>
    </row>
    <row r="2" spans="1:16" x14ac:dyDescent="0.2">
      <c r="I2" s="20" t="s">
        <v>62</v>
      </c>
      <c r="J2" s="21" t="s">
        <v>63</v>
      </c>
    </row>
    <row r="3" spans="1:16" x14ac:dyDescent="0.2">
      <c r="A3" s="22" t="s">
        <v>64</v>
      </c>
      <c r="I3" s="20" t="s">
        <v>65</v>
      </c>
      <c r="J3" s="21" t="s">
        <v>53</v>
      </c>
    </row>
    <row r="4" spans="1:16" x14ac:dyDescent="0.2">
      <c r="I4" s="20" t="s">
        <v>66</v>
      </c>
      <c r="J4" s="21" t="s">
        <v>53</v>
      </c>
    </row>
    <row r="5" spans="1:16" ht="13.5" thickBot="1" x14ac:dyDescent="0.25">
      <c r="I5" s="23" t="s">
        <v>67</v>
      </c>
      <c r="J5" s="24" t="s">
        <v>56</v>
      </c>
    </row>
    <row r="10" spans="1:16" ht="13.5" thickBot="1" x14ac:dyDescent="0.25"/>
    <row r="11" spans="1:16" ht="12.75" customHeight="1" thickBot="1" x14ac:dyDescent="0.25">
      <c r="A11" s="17" t="str">
        <f t="shared" ref="A11:A42" si="0">P11</f>
        <v>IBVS 1121 </v>
      </c>
      <c r="B11" s="5" t="str">
        <f t="shared" ref="B11:B42" si="1">IF(H11=INT(H11),"I","II")</f>
        <v>I</v>
      </c>
      <c r="C11" s="17">
        <f t="shared" ref="C11:C42" si="2">1*G11</f>
        <v>37730.6</v>
      </c>
      <c r="D11" s="4" t="str">
        <f t="shared" ref="D11:D42" si="3">VLOOKUP(F11,I$1:J$5,2,FALSE)</f>
        <v>vis</v>
      </c>
      <c r="E11" s="25">
        <f>VLOOKUP(C11,Active!C$21:E$973,3,FALSE)</f>
        <v>78.000006667219864</v>
      </c>
      <c r="F11" s="5" t="s">
        <v>67</v>
      </c>
      <c r="G11" s="4" t="str">
        <f t="shared" ref="G11:G42" si="4">MID(I11,3,LEN(I11)-3)</f>
        <v>37730.600</v>
      </c>
      <c r="H11" s="17">
        <f t="shared" ref="H11:H42" si="5">1*K11</f>
        <v>78</v>
      </c>
      <c r="I11" s="26" t="s">
        <v>230</v>
      </c>
      <c r="J11" s="27" t="s">
        <v>231</v>
      </c>
      <c r="K11" s="26">
        <v>78</v>
      </c>
      <c r="L11" s="26" t="s">
        <v>232</v>
      </c>
      <c r="M11" s="27" t="s">
        <v>72</v>
      </c>
      <c r="N11" s="27"/>
      <c r="O11" s="28" t="s">
        <v>233</v>
      </c>
      <c r="P11" s="29" t="s">
        <v>234</v>
      </c>
    </row>
    <row r="12" spans="1:16" ht="12.75" customHeight="1" thickBot="1" x14ac:dyDescent="0.25">
      <c r="A12" s="17" t="str">
        <f t="shared" si="0"/>
        <v>IBVS 1121 </v>
      </c>
      <c r="B12" s="5" t="str">
        <f t="shared" si="1"/>
        <v>I</v>
      </c>
      <c r="C12" s="17">
        <f t="shared" si="2"/>
        <v>37902.201000000001</v>
      </c>
      <c r="D12" s="4" t="str">
        <f t="shared" si="3"/>
        <v>vis</v>
      </c>
      <c r="E12" s="25">
        <f>VLOOKUP(C12,Active!C$21:E$973,3,FALSE)</f>
        <v>91.001161914655739</v>
      </c>
      <c r="F12" s="5" t="s">
        <v>67</v>
      </c>
      <c r="G12" s="4" t="str">
        <f t="shared" si="4"/>
        <v>37902.201</v>
      </c>
      <c r="H12" s="17">
        <f t="shared" si="5"/>
        <v>91</v>
      </c>
      <c r="I12" s="26" t="s">
        <v>235</v>
      </c>
      <c r="J12" s="27" t="s">
        <v>236</v>
      </c>
      <c r="K12" s="26">
        <v>91</v>
      </c>
      <c r="L12" s="26" t="s">
        <v>237</v>
      </c>
      <c r="M12" s="27" t="s">
        <v>72</v>
      </c>
      <c r="N12" s="27"/>
      <c r="O12" s="28" t="s">
        <v>233</v>
      </c>
      <c r="P12" s="29" t="s">
        <v>234</v>
      </c>
    </row>
    <row r="13" spans="1:16" ht="12.75" customHeight="1" thickBot="1" x14ac:dyDescent="0.25">
      <c r="A13" s="17" t="str">
        <f t="shared" si="0"/>
        <v>IBVS 1121 </v>
      </c>
      <c r="B13" s="5" t="str">
        <f t="shared" si="1"/>
        <v>I</v>
      </c>
      <c r="C13" s="17">
        <f t="shared" si="2"/>
        <v>38060.601999999999</v>
      </c>
      <c r="D13" s="4" t="str">
        <f t="shared" si="3"/>
        <v>vis</v>
      </c>
      <c r="E13" s="25">
        <f>VLOOKUP(C13,Active!C$21:E$973,3,FALSE)</f>
        <v>103.00223412489365</v>
      </c>
      <c r="F13" s="5" t="s">
        <v>67</v>
      </c>
      <c r="G13" s="4" t="str">
        <f t="shared" si="4"/>
        <v>38060.602</v>
      </c>
      <c r="H13" s="17">
        <f t="shared" si="5"/>
        <v>103</v>
      </c>
      <c r="I13" s="26" t="s">
        <v>238</v>
      </c>
      <c r="J13" s="27" t="s">
        <v>239</v>
      </c>
      <c r="K13" s="26">
        <v>103</v>
      </c>
      <c r="L13" s="26" t="s">
        <v>240</v>
      </c>
      <c r="M13" s="27" t="s">
        <v>72</v>
      </c>
      <c r="N13" s="27"/>
      <c r="O13" s="28" t="s">
        <v>233</v>
      </c>
      <c r="P13" s="29" t="s">
        <v>234</v>
      </c>
    </row>
    <row r="14" spans="1:16" ht="12.75" customHeight="1" thickBot="1" x14ac:dyDescent="0.25">
      <c r="A14" s="17" t="str">
        <f t="shared" si="0"/>
        <v>IBVS 910 </v>
      </c>
      <c r="B14" s="5" t="str">
        <f t="shared" si="1"/>
        <v>I</v>
      </c>
      <c r="C14" s="17">
        <f t="shared" si="2"/>
        <v>39063.684000000001</v>
      </c>
      <c r="D14" s="4" t="str">
        <f t="shared" si="3"/>
        <v>vis</v>
      </c>
      <c r="E14" s="25">
        <f>VLOOKUP(C14,Active!C$21:E$973,3,FALSE)</f>
        <v>178.99960481567237</v>
      </c>
      <c r="F14" s="5" t="s">
        <v>67</v>
      </c>
      <c r="G14" s="4" t="str">
        <f t="shared" si="4"/>
        <v>39063.684</v>
      </c>
      <c r="H14" s="17">
        <f t="shared" si="5"/>
        <v>179</v>
      </c>
      <c r="I14" s="26" t="s">
        <v>241</v>
      </c>
      <c r="J14" s="27" t="s">
        <v>242</v>
      </c>
      <c r="K14" s="26">
        <v>179</v>
      </c>
      <c r="L14" s="26" t="s">
        <v>243</v>
      </c>
      <c r="M14" s="27" t="s">
        <v>244</v>
      </c>
      <c r="N14" s="27" t="s">
        <v>245</v>
      </c>
      <c r="O14" s="28" t="s">
        <v>246</v>
      </c>
      <c r="P14" s="29" t="s">
        <v>247</v>
      </c>
    </row>
    <row r="15" spans="1:16" ht="12.75" customHeight="1" thickBot="1" x14ac:dyDescent="0.25">
      <c r="A15" s="17" t="str">
        <f t="shared" si="0"/>
        <v>IBVS 1121 </v>
      </c>
      <c r="B15" s="5" t="str">
        <f t="shared" si="1"/>
        <v>I</v>
      </c>
      <c r="C15" s="17">
        <f t="shared" si="2"/>
        <v>39063.735999999997</v>
      </c>
      <c r="D15" s="4" t="str">
        <f t="shared" si="3"/>
        <v>vis</v>
      </c>
      <c r="E15" s="25">
        <f>VLOOKUP(C15,Active!C$21:E$973,3,FALSE)</f>
        <v>179.0035445367277</v>
      </c>
      <c r="F15" s="5" t="s">
        <v>67</v>
      </c>
      <c r="G15" s="4" t="str">
        <f t="shared" si="4"/>
        <v>39063.736</v>
      </c>
      <c r="H15" s="17">
        <f t="shared" si="5"/>
        <v>179</v>
      </c>
      <c r="I15" s="26" t="s">
        <v>248</v>
      </c>
      <c r="J15" s="27" t="s">
        <v>249</v>
      </c>
      <c r="K15" s="26">
        <v>179</v>
      </c>
      <c r="L15" s="26" t="s">
        <v>250</v>
      </c>
      <c r="M15" s="27" t="s">
        <v>72</v>
      </c>
      <c r="N15" s="27"/>
      <c r="O15" s="28" t="s">
        <v>233</v>
      </c>
      <c r="P15" s="29" t="s">
        <v>234</v>
      </c>
    </row>
    <row r="16" spans="1:16" ht="12.75" customHeight="1" thickBot="1" x14ac:dyDescent="0.25">
      <c r="A16" s="17" t="str">
        <f t="shared" si="0"/>
        <v>IBVS 910 </v>
      </c>
      <c r="B16" s="5" t="str">
        <f t="shared" si="1"/>
        <v>I</v>
      </c>
      <c r="C16" s="17">
        <f t="shared" si="2"/>
        <v>39076.883000000002</v>
      </c>
      <c r="D16" s="4" t="str">
        <f t="shared" si="3"/>
        <v>vis</v>
      </c>
      <c r="E16" s="25">
        <f>VLOOKUP(C16,Active!C$21:E$973,3,FALSE)</f>
        <v>179.99961208900359</v>
      </c>
      <c r="F16" s="5" t="s">
        <v>67</v>
      </c>
      <c r="G16" s="4" t="str">
        <f t="shared" si="4"/>
        <v>39076.883</v>
      </c>
      <c r="H16" s="17">
        <f t="shared" si="5"/>
        <v>180</v>
      </c>
      <c r="I16" s="26" t="s">
        <v>251</v>
      </c>
      <c r="J16" s="27" t="s">
        <v>252</v>
      </c>
      <c r="K16" s="26">
        <v>180</v>
      </c>
      <c r="L16" s="26" t="s">
        <v>243</v>
      </c>
      <c r="M16" s="27" t="s">
        <v>244</v>
      </c>
      <c r="N16" s="27" t="s">
        <v>245</v>
      </c>
      <c r="O16" s="28" t="s">
        <v>246</v>
      </c>
      <c r="P16" s="29" t="s">
        <v>247</v>
      </c>
    </row>
    <row r="17" spans="1:16" ht="12.75" customHeight="1" thickBot="1" x14ac:dyDescent="0.25">
      <c r="A17" s="17" t="str">
        <f t="shared" si="0"/>
        <v>IBVS 1121 </v>
      </c>
      <c r="B17" s="5" t="str">
        <f t="shared" si="1"/>
        <v>I</v>
      </c>
      <c r="C17" s="17">
        <f t="shared" si="2"/>
        <v>39380.493999999999</v>
      </c>
      <c r="D17" s="4" t="str">
        <f t="shared" si="3"/>
        <v>vis</v>
      </c>
      <c r="E17" s="25">
        <f>VLOOKUP(C17,Active!C$21:E$973,3,FALSE)</f>
        <v>203.00235534707997</v>
      </c>
      <c r="F17" s="5" t="s">
        <v>67</v>
      </c>
      <c r="G17" s="4" t="str">
        <f t="shared" si="4"/>
        <v>39380.494</v>
      </c>
      <c r="H17" s="17">
        <f t="shared" si="5"/>
        <v>203</v>
      </c>
      <c r="I17" s="26" t="s">
        <v>253</v>
      </c>
      <c r="J17" s="27" t="s">
        <v>254</v>
      </c>
      <c r="K17" s="26">
        <v>203</v>
      </c>
      <c r="L17" s="26" t="s">
        <v>255</v>
      </c>
      <c r="M17" s="27" t="s">
        <v>72</v>
      </c>
      <c r="N17" s="27"/>
      <c r="O17" s="28" t="s">
        <v>233</v>
      </c>
      <c r="P17" s="29" t="s">
        <v>234</v>
      </c>
    </row>
    <row r="18" spans="1:16" ht="12.75" customHeight="1" thickBot="1" x14ac:dyDescent="0.25">
      <c r="A18" s="17" t="str">
        <f t="shared" si="0"/>
        <v>IBVS 1121 </v>
      </c>
      <c r="B18" s="5" t="str">
        <f t="shared" si="1"/>
        <v>I</v>
      </c>
      <c r="C18" s="17">
        <f t="shared" si="2"/>
        <v>39538.830999999998</v>
      </c>
      <c r="D18" s="4" t="str">
        <f t="shared" si="3"/>
        <v>vis</v>
      </c>
      <c r="E18" s="25">
        <f>VLOOKUP(C18,Active!C$21:E$973,3,FALSE)</f>
        <v>214.99857866986491</v>
      </c>
      <c r="F18" s="5" t="s">
        <v>67</v>
      </c>
      <c r="G18" s="4" t="str">
        <f t="shared" si="4"/>
        <v>39538.831</v>
      </c>
      <c r="H18" s="17">
        <f t="shared" si="5"/>
        <v>215</v>
      </c>
      <c r="I18" s="26" t="s">
        <v>256</v>
      </c>
      <c r="J18" s="27" t="s">
        <v>257</v>
      </c>
      <c r="K18" s="26">
        <v>215</v>
      </c>
      <c r="L18" s="26" t="s">
        <v>258</v>
      </c>
      <c r="M18" s="27" t="s">
        <v>72</v>
      </c>
      <c r="N18" s="27"/>
      <c r="O18" s="28" t="s">
        <v>233</v>
      </c>
      <c r="P18" s="29" t="s">
        <v>234</v>
      </c>
    </row>
    <row r="19" spans="1:16" ht="12.75" customHeight="1" thickBot="1" x14ac:dyDescent="0.25">
      <c r="A19" s="17" t="str">
        <f t="shared" si="0"/>
        <v>IBVS 1121 </v>
      </c>
      <c r="B19" s="5" t="str">
        <f t="shared" si="1"/>
        <v>I</v>
      </c>
      <c r="C19" s="17">
        <f t="shared" si="2"/>
        <v>39776.478999999999</v>
      </c>
      <c r="D19" s="4" t="str">
        <f t="shared" si="3"/>
        <v>vis</v>
      </c>
      <c r="E19" s="25">
        <f>VLOOKUP(C19,Active!C$21:E$973,3,FALSE)</f>
        <v>233.00371000501221</v>
      </c>
      <c r="F19" s="5" t="s">
        <v>67</v>
      </c>
      <c r="G19" s="4" t="str">
        <f t="shared" si="4"/>
        <v>39776.479</v>
      </c>
      <c r="H19" s="17">
        <f t="shared" si="5"/>
        <v>233</v>
      </c>
      <c r="I19" s="26" t="s">
        <v>259</v>
      </c>
      <c r="J19" s="27" t="s">
        <v>260</v>
      </c>
      <c r="K19" s="26">
        <v>233</v>
      </c>
      <c r="L19" s="26" t="s">
        <v>261</v>
      </c>
      <c r="M19" s="27" t="s">
        <v>72</v>
      </c>
      <c r="N19" s="27"/>
      <c r="O19" s="28" t="s">
        <v>233</v>
      </c>
      <c r="P19" s="29" t="s">
        <v>234</v>
      </c>
    </row>
    <row r="20" spans="1:16" ht="12.75" customHeight="1" thickBot="1" x14ac:dyDescent="0.25">
      <c r="A20" s="17" t="str">
        <f t="shared" si="0"/>
        <v>IBVS 910 </v>
      </c>
      <c r="B20" s="5" t="str">
        <f t="shared" si="1"/>
        <v>I</v>
      </c>
      <c r="C20" s="17">
        <f t="shared" si="2"/>
        <v>39802.822</v>
      </c>
      <c r="D20" s="4" t="str">
        <f t="shared" si="3"/>
        <v>vis</v>
      </c>
      <c r="E20" s="25">
        <f>VLOOKUP(C20,Active!C$21:E$973,3,FALSE)</f>
        <v>234.99955753901963</v>
      </c>
      <c r="F20" s="5" t="s">
        <v>67</v>
      </c>
      <c r="G20" s="4" t="str">
        <f t="shared" si="4"/>
        <v>39802.822</v>
      </c>
      <c r="H20" s="17">
        <f t="shared" si="5"/>
        <v>235</v>
      </c>
      <c r="I20" s="26" t="s">
        <v>262</v>
      </c>
      <c r="J20" s="27" t="s">
        <v>263</v>
      </c>
      <c r="K20" s="26">
        <v>235</v>
      </c>
      <c r="L20" s="26" t="s">
        <v>264</v>
      </c>
      <c r="M20" s="27" t="s">
        <v>244</v>
      </c>
      <c r="N20" s="27" t="s">
        <v>245</v>
      </c>
      <c r="O20" s="28" t="s">
        <v>246</v>
      </c>
      <c r="P20" s="29" t="s">
        <v>247</v>
      </c>
    </row>
    <row r="21" spans="1:16" ht="12.75" customHeight="1" thickBot="1" x14ac:dyDescent="0.25">
      <c r="A21" s="17" t="str">
        <f t="shared" si="0"/>
        <v>IBVS 1121 </v>
      </c>
      <c r="B21" s="5" t="str">
        <f t="shared" si="1"/>
        <v>I</v>
      </c>
      <c r="C21" s="17">
        <f t="shared" si="2"/>
        <v>40317.612000000001</v>
      </c>
      <c r="D21" s="4" t="str">
        <f t="shared" si="3"/>
        <v>vis</v>
      </c>
      <c r="E21" s="25">
        <f>VLOOKUP(C21,Active!C$21:E$973,3,FALSE)</f>
        <v>274.00203835106288</v>
      </c>
      <c r="F21" s="5" t="s">
        <v>67</v>
      </c>
      <c r="G21" s="4" t="str">
        <f t="shared" si="4"/>
        <v>40317.612</v>
      </c>
      <c r="H21" s="17">
        <f t="shared" si="5"/>
        <v>274</v>
      </c>
      <c r="I21" s="26" t="s">
        <v>265</v>
      </c>
      <c r="J21" s="27" t="s">
        <v>266</v>
      </c>
      <c r="K21" s="26">
        <v>274</v>
      </c>
      <c r="L21" s="26" t="s">
        <v>267</v>
      </c>
      <c r="M21" s="27" t="s">
        <v>72</v>
      </c>
      <c r="N21" s="27"/>
      <c r="O21" s="28" t="s">
        <v>233</v>
      </c>
      <c r="P21" s="29" t="s">
        <v>234</v>
      </c>
    </row>
    <row r="22" spans="1:16" ht="12.75" customHeight="1" thickBot="1" x14ac:dyDescent="0.25">
      <c r="A22" s="17" t="str">
        <f t="shared" si="0"/>
        <v>IBVS 1121 </v>
      </c>
      <c r="B22" s="5" t="str">
        <f t="shared" si="1"/>
        <v>I</v>
      </c>
      <c r="C22" s="17">
        <f t="shared" si="2"/>
        <v>40858.728999999999</v>
      </c>
      <c r="D22" s="4" t="str">
        <f t="shared" si="3"/>
        <v>vis</v>
      </c>
      <c r="E22" s="25">
        <f>VLOOKUP(C22,Active!C$21:E$973,3,FALSE)</f>
        <v>314.99915447525001</v>
      </c>
      <c r="F22" s="5" t="s">
        <v>67</v>
      </c>
      <c r="G22" s="4" t="str">
        <f t="shared" si="4"/>
        <v>40858.729</v>
      </c>
      <c r="H22" s="17">
        <f t="shared" si="5"/>
        <v>315</v>
      </c>
      <c r="I22" s="26" t="s">
        <v>268</v>
      </c>
      <c r="J22" s="27" t="s">
        <v>269</v>
      </c>
      <c r="K22" s="26">
        <v>315</v>
      </c>
      <c r="L22" s="26" t="s">
        <v>270</v>
      </c>
      <c r="M22" s="27" t="s">
        <v>72</v>
      </c>
      <c r="N22" s="27"/>
      <c r="O22" s="28" t="s">
        <v>233</v>
      </c>
      <c r="P22" s="29" t="s">
        <v>234</v>
      </c>
    </row>
    <row r="23" spans="1:16" ht="12.75" customHeight="1" thickBot="1" x14ac:dyDescent="0.25">
      <c r="A23" s="17" t="str">
        <f t="shared" si="0"/>
        <v>IBVS 1121 </v>
      </c>
      <c r="B23" s="5" t="str">
        <f t="shared" si="1"/>
        <v>I</v>
      </c>
      <c r="C23" s="17">
        <f t="shared" si="2"/>
        <v>40924.750999999997</v>
      </c>
      <c r="D23" s="4" t="str">
        <f t="shared" si="3"/>
        <v>vis</v>
      </c>
      <c r="E23" s="25">
        <f>VLOOKUP(C23,Active!C$21:E$973,3,FALSE)</f>
        <v>320.00123646629999</v>
      </c>
      <c r="F23" s="5" t="s">
        <v>67</v>
      </c>
      <c r="G23" s="4" t="str">
        <f t="shared" si="4"/>
        <v>40924.751</v>
      </c>
      <c r="H23" s="17">
        <f t="shared" si="5"/>
        <v>320</v>
      </c>
      <c r="I23" s="26" t="s">
        <v>275</v>
      </c>
      <c r="J23" s="27" t="s">
        <v>276</v>
      </c>
      <c r="K23" s="26">
        <v>320</v>
      </c>
      <c r="L23" s="26" t="s">
        <v>277</v>
      </c>
      <c r="M23" s="27" t="s">
        <v>72</v>
      </c>
      <c r="N23" s="27"/>
      <c r="O23" s="28" t="s">
        <v>233</v>
      </c>
      <c r="P23" s="29" t="s">
        <v>234</v>
      </c>
    </row>
    <row r="24" spans="1:16" ht="12.75" customHeight="1" thickBot="1" x14ac:dyDescent="0.25">
      <c r="A24" s="17" t="str">
        <f t="shared" si="0"/>
        <v>IBVS 1121 </v>
      </c>
      <c r="B24" s="5" t="str">
        <f t="shared" si="1"/>
        <v>I</v>
      </c>
      <c r="C24" s="17">
        <f t="shared" si="2"/>
        <v>41056.712</v>
      </c>
      <c r="D24" s="4" t="str">
        <f t="shared" si="3"/>
        <v>vis</v>
      </c>
      <c r="E24" s="25">
        <f>VLOOKUP(C24,Active!C$21:E$973,3,FALSE)</f>
        <v>329.99911204748486</v>
      </c>
      <c r="F24" s="5" t="s">
        <v>67</v>
      </c>
      <c r="G24" s="4" t="str">
        <f t="shared" si="4"/>
        <v>41056.712</v>
      </c>
      <c r="H24" s="17">
        <f t="shared" si="5"/>
        <v>330</v>
      </c>
      <c r="I24" s="26" t="s">
        <v>278</v>
      </c>
      <c r="J24" s="27" t="s">
        <v>279</v>
      </c>
      <c r="K24" s="26">
        <v>330</v>
      </c>
      <c r="L24" s="26" t="s">
        <v>280</v>
      </c>
      <c r="M24" s="27" t="s">
        <v>72</v>
      </c>
      <c r="N24" s="27"/>
      <c r="O24" s="28" t="s">
        <v>233</v>
      </c>
      <c r="P24" s="29" t="s">
        <v>234</v>
      </c>
    </row>
    <row r="25" spans="1:16" ht="12.75" customHeight="1" thickBot="1" x14ac:dyDescent="0.25">
      <c r="A25" s="17" t="str">
        <f t="shared" si="0"/>
        <v>IBVS 1121 </v>
      </c>
      <c r="B25" s="5" t="str">
        <f t="shared" si="1"/>
        <v>I</v>
      </c>
      <c r="C25" s="17">
        <f t="shared" si="2"/>
        <v>41333.932000000001</v>
      </c>
      <c r="D25" s="4" t="str">
        <f t="shared" si="3"/>
        <v>vis</v>
      </c>
      <c r="E25" s="25">
        <f>VLOOKUP(C25,Active!C$21:E$973,3,FALSE)</f>
        <v>351.0023711059643</v>
      </c>
      <c r="F25" s="5" t="s">
        <v>67</v>
      </c>
      <c r="G25" s="4" t="str">
        <f t="shared" si="4"/>
        <v>41333.932</v>
      </c>
      <c r="H25" s="17">
        <f t="shared" si="5"/>
        <v>351</v>
      </c>
      <c r="I25" s="26" t="s">
        <v>281</v>
      </c>
      <c r="J25" s="27" t="s">
        <v>282</v>
      </c>
      <c r="K25" s="26">
        <v>351</v>
      </c>
      <c r="L25" s="26" t="s">
        <v>255</v>
      </c>
      <c r="M25" s="27" t="s">
        <v>72</v>
      </c>
      <c r="N25" s="27"/>
      <c r="O25" s="28" t="s">
        <v>233</v>
      </c>
      <c r="P25" s="29" t="s">
        <v>234</v>
      </c>
    </row>
    <row r="26" spans="1:16" ht="12.75" customHeight="1" thickBot="1" x14ac:dyDescent="0.25">
      <c r="A26" s="17" t="str">
        <f t="shared" si="0"/>
        <v>IBVS 1121 </v>
      </c>
      <c r="B26" s="5" t="str">
        <f t="shared" si="1"/>
        <v>I</v>
      </c>
      <c r="C26" s="17">
        <f t="shared" si="2"/>
        <v>41650.663</v>
      </c>
      <c r="D26" s="4" t="str">
        <f t="shared" si="3"/>
        <v>vis</v>
      </c>
      <c r="E26" s="25">
        <f>VLOOKUP(C26,Active!C$21:E$973,3,FALSE)</f>
        <v>374.99913629192218</v>
      </c>
      <c r="F26" s="5" t="s">
        <v>67</v>
      </c>
      <c r="G26" s="4" t="str">
        <f t="shared" si="4"/>
        <v>41650.663</v>
      </c>
      <c r="H26" s="17">
        <f t="shared" si="5"/>
        <v>375</v>
      </c>
      <c r="I26" s="26" t="s">
        <v>283</v>
      </c>
      <c r="J26" s="27" t="s">
        <v>284</v>
      </c>
      <c r="K26" s="26">
        <v>375</v>
      </c>
      <c r="L26" s="26" t="s">
        <v>270</v>
      </c>
      <c r="M26" s="27" t="s">
        <v>72</v>
      </c>
      <c r="N26" s="27"/>
      <c r="O26" s="28" t="s">
        <v>233</v>
      </c>
      <c r="P26" s="29" t="s">
        <v>234</v>
      </c>
    </row>
    <row r="27" spans="1:16" ht="12.75" customHeight="1" thickBot="1" x14ac:dyDescent="0.25">
      <c r="A27" s="17" t="str">
        <f t="shared" si="0"/>
        <v> BBS 39 </v>
      </c>
      <c r="B27" s="5" t="str">
        <f t="shared" si="1"/>
        <v>I</v>
      </c>
      <c r="C27" s="17">
        <f t="shared" si="2"/>
        <v>43775.627</v>
      </c>
      <c r="D27" s="4" t="str">
        <f t="shared" si="3"/>
        <v>vis</v>
      </c>
      <c r="E27" s="25">
        <f>VLOOKUP(C27,Active!C$21:E$973,3,FALSE)</f>
        <v>535.99462500825803</v>
      </c>
      <c r="F27" s="5" t="s">
        <v>67</v>
      </c>
      <c r="G27" s="4" t="str">
        <f t="shared" si="4"/>
        <v>43775.627</v>
      </c>
      <c r="H27" s="17">
        <f t="shared" si="5"/>
        <v>536</v>
      </c>
      <c r="I27" s="26" t="s">
        <v>285</v>
      </c>
      <c r="J27" s="27" t="s">
        <v>286</v>
      </c>
      <c r="K27" s="26">
        <v>536</v>
      </c>
      <c r="L27" s="26" t="s">
        <v>287</v>
      </c>
      <c r="M27" s="27" t="s">
        <v>138</v>
      </c>
      <c r="N27" s="27"/>
      <c r="O27" s="28" t="s">
        <v>288</v>
      </c>
      <c r="P27" s="28" t="s">
        <v>289</v>
      </c>
    </row>
    <row r="28" spans="1:16" ht="12.75" customHeight="1" thickBot="1" x14ac:dyDescent="0.25">
      <c r="A28" s="17" t="str">
        <f t="shared" si="0"/>
        <v> BBS 62 </v>
      </c>
      <c r="B28" s="5" t="str">
        <f t="shared" si="1"/>
        <v>I</v>
      </c>
      <c r="C28" s="17">
        <f t="shared" si="2"/>
        <v>45227.584000000003</v>
      </c>
      <c r="D28" s="4" t="str">
        <f t="shared" si="3"/>
        <v>vis</v>
      </c>
      <c r="E28" s="25">
        <f>VLOOKUP(C28,Active!C$21:E$973,3,FALSE)</f>
        <v>646.00050125374037</v>
      </c>
      <c r="F28" s="5" t="s">
        <v>67</v>
      </c>
      <c r="G28" s="4" t="str">
        <f t="shared" si="4"/>
        <v>45227.584</v>
      </c>
      <c r="H28" s="17">
        <f t="shared" si="5"/>
        <v>646</v>
      </c>
      <c r="I28" s="26" t="s">
        <v>290</v>
      </c>
      <c r="J28" s="27" t="s">
        <v>291</v>
      </c>
      <c r="K28" s="26">
        <v>646</v>
      </c>
      <c r="L28" s="26" t="s">
        <v>119</v>
      </c>
      <c r="M28" s="27" t="s">
        <v>138</v>
      </c>
      <c r="N28" s="27"/>
      <c r="O28" s="28" t="s">
        <v>288</v>
      </c>
      <c r="P28" s="28" t="s">
        <v>292</v>
      </c>
    </row>
    <row r="29" spans="1:16" ht="12.75" customHeight="1" thickBot="1" x14ac:dyDescent="0.25">
      <c r="A29" s="17" t="str">
        <f t="shared" si="0"/>
        <v>IBVS 3355 </v>
      </c>
      <c r="B29" s="5" t="str">
        <f t="shared" si="1"/>
        <v>I</v>
      </c>
      <c r="C29" s="17">
        <f t="shared" si="2"/>
        <v>47207.425999999999</v>
      </c>
      <c r="D29" s="4" t="str">
        <f t="shared" si="3"/>
        <v>PE</v>
      </c>
      <c r="E29" s="25">
        <f>VLOOKUP(C29,Active!C$21:E$973,3,FALSE)</f>
        <v>796.00098614248543</v>
      </c>
      <c r="F29" s="5" t="str">
        <f>LEFT(M29,1)</f>
        <v>E</v>
      </c>
      <c r="G29" s="4" t="str">
        <f t="shared" si="4"/>
        <v>47207.426</v>
      </c>
      <c r="H29" s="17">
        <f t="shared" si="5"/>
        <v>796</v>
      </c>
      <c r="I29" s="26" t="s">
        <v>298</v>
      </c>
      <c r="J29" s="27" t="s">
        <v>299</v>
      </c>
      <c r="K29" s="26">
        <v>796</v>
      </c>
      <c r="L29" s="26" t="s">
        <v>300</v>
      </c>
      <c r="M29" s="27" t="s">
        <v>244</v>
      </c>
      <c r="N29" s="27" t="s">
        <v>245</v>
      </c>
      <c r="O29" s="28" t="s">
        <v>301</v>
      </c>
      <c r="P29" s="29" t="s">
        <v>302</v>
      </c>
    </row>
    <row r="30" spans="1:16" ht="12.75" customHeight="1" thickBot="1" x14ac:dyDescent="0.25">
      <c r="A30" s="17" t="str">
        <f t="shared" si="0"/>
        <v>BAVM 174 </v>
      </c>
      <c r="B30" s="5" t="str">
        <f t="shared" si="1"/>
        <v>I</v>
      </c>
      <c r="C30" s="17">
        <f t="shared" si="2"/>
        <v>53133.684999999998</v>
      </c>
      <c r="D30" s="4" t="str">
        <f t="shared" si="3"/>
        <v>vis</v>
      </c>
      <c r="E30" s="25">
        <f>VLOOKUP(C30,Active!C$21:E$973,3,FALSE)</f>
        <v>1244.9972815924712</v>
      </c>
      <c r="F30" s="5" t="str">
        <f>LEFT(M30,1)</f>
        <v>V</v>
      </c>
      <c r="G30" s="4" t="str">
        <f t="shared" si="4"/>
        <v>53133.685</v>
      </c>
      <c r="H30" s="17">
        <f t="shared" si="5"/>
        <v>1245</v>
      </c>
      <c r="I30" s="26" t="s">
        <v>313</v>
      </c>
      <c r="J30" s="27" t="s">
        <v>314</v>
      </c>
      <c r="K30" s="26">
        <v>1245</v>
      </c>
      <c r="L30" s="26" t="s">
        <v>315</v>
      </c>
      <c r="M30" s="27" t="s">
        <v>138</v>
      </c>
      <c r="N30" s="27"/>
      <c r="O30" s="28" t="s">
        <v>311</v>
      </c>
      <c r="P30" s="29" t="s">
        <v>316</v>
      </c>
    </row>
    <row r="31" spans="1:16" ht="12.75" customHeight="1" thickBot="1" x14ac:dyDescent="0.25">
      <c r="A31" s="17" t="str">
        <f t="shared" si="0"/>
        <v>IBVS 6007 </v>
      </c>
      <c r="B31" s="5" t="str">
        <f t="shared" si="1"/>
        <v>I</v>
      </c>
      <c r="C31" s="17">
        <f t="shared" si="2"/>
        <v>54084.067999999999</v>
      </c>
      <c r="D31" s="4" t="str">
        <f t="shared" si="3"/>
        <v>vis</v>
      </c>
      <c r="E31" s="25">
        <f>VLOOKUP(C31,Active!C$21:E$973,3,FALSE)</f>
        <v>1317.0019722849711</v>
      </c>
      <c r="F31" s="5" t="s">
        <v>67</v>
      </c>
      <c r="G31" s="4" t="str">
        <f t="shared" si="4"/>
        <v>54084.06800</v>
      </c>
      <c r="H31" s="17">
        <f t="shared" si="5"/>
        <v>1317</v>
      </c>
      <c r="I31" s="26" t="s">
        <v>317</v>
      </c>
      <c r="J31" s="27" t="s">
        <v>318</v>
      </c>
      <c r="K31" s="26">
        <v>1317</v>
      </c>
      <c r="L31" s="26" t="s">
        <v>319</v>
      </c>
      <c r="M31" s="27" t="s">
        <v>320</v>
      </c>
      <c r="N31" s="27" t="s">
        <v>60</v>
      </c>
      <c r="O31" s="28" t="s">
        <v>321</v>
      </c>
      <c r="P31" s="29" t="s">
        <v>322</v>
      </c>
    </row>
    <row r="32" spans="1:16" ht="12.75" customHeight="1" thickBot="1" x14ac:dyDescent="0.25">
      <c r="A32" s="17" t="str">
        <f t="shared" si="0"/>
        <v>IBVS 6007 </v>
      </c>
      <c r="B32" s="5" t="str">
        <f t="shared" si="1"/>
        <v>I</v>
      </c>
      <c r="C32" s="17">
        <f t="shared" si="2"/>
        <v>54387.635900000001</v>
      </c>
      <c r="D32" s="4" t="str">
        <f t="shared" si="3"/>
        <v>vis</v>
      </c>
      <c r="E32" s="25">
        <f>VLOOKUP(C32,Active!C$21:E$973,3,FALSE)</f>
        <v>1340.0014501204037</v>
      </c>
      <c r="F32" s="5" t="s">
        <v>67</v>
      </c>
      <c r="G32" s="4" t="str">
        <f t="shared" si="4"/>
        <v>54387.63590</v>
      </c>
      <c r="H32" s="17">
        <f t="shared" si="5"/>
        <v>1340</v>
      </c>
      <c r="I32" s="26" t="s">
        <v>323</v>
      </c>
      <c r="J32" s="27" t="s">
        <v>324</v>
      </c>
      <c r="K32" s="26">
        <v>1340</v>
      </c>
      <c r="L32" s="26" t="s">
        <v>325</v>
      </c>
      <c r="M32" s="27" t="s">
        <v>320</v>
      </c>
      <c r="N32" s="27" t="s">
        <v>60</v>
      </c>
      <c r="O32" s="28" t="s">
        <v>321</v>
      </c>
      <c r="P32" s="29" t="s">
        <v>322</v>
      </c>
    </row>
    <row r="33" spans="1:16" ht="12.75" customHeight="1" thickBot="1" x14ac:dyDescent="0.25">
      <c r="A33" s="17" t="str">
        <f t="shared" si="0"/>
        <v>BAVM 201 </v>
      </c>
      <c r="B33" s="5" t="str">
        <f t="shared" si="1"/>
        <v>I</v>
      </c>
      <c r="C33" s="17">
        <f t="shared" si="2"/>
        <v>54506.427000000003</v>
      </c>
      <c r="D33" s="4" t="str">
        <f t="shared" si="3"/>
        <v>vis</v>
      </c>
      <c r="E33" s="25">
        <f>VLOOKUP(C33,Active!C$21:E$973,3,FALSE)</f>
        <v>1349.0015231567711</v>
      </c>
      <c r="F33" s="5" t="s">
        <v>67</v>
      </c>
      <c r="G33" s="4" t="str">
        <f t="shared" si="4"/>
        <v>54506.4270</v>
      </c>
      <c r="H33" s="17">
        <f t="shared" si="5"/>
        <v>1349</v>
      </c>
      <c r="I33" s="26" t="s">
        <v>326</v>
      </c>
      <c r="J33" s="27" t="s">
        <v>327</v>
      </c>
      <c r="K33" s="26">
        <v>1349</v>
      </c>
      <c r="L33" s="26" t="s">
        <v>328</v>
      </c>
      <c r="M33" s="27" t="s">
        <v>320</v>
      </c>
      <c r="N33" s="27" t="s">
        <v>329</v>
      </c>
      <c r="O33" s="28" t="s">
        <v>330</v>
      </c>
      <c r="P33" s="29" t="s">
        <v>331</v>
      </c>
    </row>
    <row r="34" spans="1:16" ht="12.75" customHeight="1" thickBot="1" x14ac:dyDescent="0.25">
      <c r="A34" s="17" t="str">
        <f t="shared" si="0"/>
        <v>OEJV 0172 </v>
      </c>
      <c r="B34" s="5" t="str">
        <f t="shared" si="1"/>
        <v>I</v>
      </c>
      <c r="C34" s="17">
        <f t="shared" si="2"/>
        <v>57027.451000000001</v>
      </c>
      <c r="D34" s="4" t="str">
        <f t="shared" si="3"/>
        <v>vis</v>
      </c>
      <c r="E34" s="25">
        <f>VLOOKUP(C34,Active!C$21:E$973,3,FALSE)</f>
        <v>1540.0040488210229</v>
      </c>
      <c r="F34" s="5" t="s">
        <v>67</v>
      </c>
      <c r="G34" s="4" t="str">
        <f t="shared" si="4"/>
        <v>57027.451</v>
      </c>
      <c r="H34" s="17">
        <f t="shared" si="5"/>
        <v>1540</v>
      </c>
      <c r="I34" s="26" t="s">
        <v>345</v>
      </c>
      <c r="J34" s="27" t="s">
        <v>346</v>
      </c>
      <c r="K34" s="26" t="s">
        <v>347</v>
      </c>
      <c r="L34" s="26" t="s">
        <v>218</v>
      </c>
      <c r="M34" s="27" t="s">
        <v>320</v>
      </c>
      <c r="N34" s="27" t="s">
        <v>348</v>
      </c>
      <c r="O34" s="28" t="s">
        <v>349</v>
      </c>
      <c r="P34" s="29" t="s">
        <v>350</v>
      </c>
    </row>
    <row r="35" spans="1:16" ht="12.75" customHeight="1" thickBot="1" x14ac:dyDescent="0.25">
      <c r="A35" s="17" t="str">
        <f t="shared" si="0"/>
        <v> HC 114 </v>
      </c>
      <c r="B35" s="5" t="str">
        <f t="shared" si="1"/>
        <v>I</v>
      </c>
      <c r="C35" s="17">
        <f t="shared" si="2"/>
        <v>11636.839</v>
      </c>
      <c r="D35" s="4" t="str">
        <f t="shared" si="3"/>
        <v>vis</v>
      </c>
      <c r="E35" s="25">
        <f>VLOOKUP(C35,Active!C$21:E$973,3,FALSE)</f>
        <v>-1898.9642170289292</v>
      </c>
      <c r="F35" s="5" t="s">
        <v>67</v>
      </c>
      <c r="G35" s="4" t="str">
        <f t="shared" si="4"/>
        <v>11636.839</v>
      </c>
      <c r="H35" s="17">
        <f t="shared" si="5"/>
        <v>-1899</v>
      </c>
      <c r="I35" s="26" t="s">
        <v>69</v>
      </c>
      <c r="J35" s="27" t="s">
        <v>70</v>
      </c>
      <c r="K35" s="26">
        <v>-1899</v>
      </c>
      <c r="L35" s="26" t="s">
        <v>71</v>
      </c>
      <c r="M35" s="27" t="s">
        <v>72</v>
      </c>
      <c r="N35" s="27"/>
      <c r="O35" s="28" t="s">
        <v>73</v>
      </c>
      <c r="P35" s="28" t="s">
        <v>74</v>
      </c>
    </row>
    <row r="36" spans="1:16" ht="12.75" customHeight="1" thickBot="1" x14ac:dyDescent="0.25">
      <c r="A36" s="17" t="str">
        <f t="shared" si="0"/>
        <v> HC 114 </v>
      </c>
      <c r="B36" s="5" t="str">
        <f t="shared" si="1"/>
        <v>I</v>
      </c>
      <c r="C36" s="17">
        <f t="shared" si="2"/>
        <v>11636.880999999999</v>
      </c>
      <c r="D36" s="4" t="str">
        <f t="shared" si="3"/>
        <v>vis</v>
      </c>
      <c r="E36" s="25">
        <f>VLOOKUP(C36,Active!C$21:E$973,3,FALSE)</f>
        <v>-1898.9610349465381</v>
      </c>
      <c r="F36" s="5" t="s">
        <v>67</v>
      </c>
      <c r="G36" s="4" t="str">
        <f t="shared" si="4"/>
        <v>11636.881</v>
      </c>
      <c r="H36" s="17">
        <f t="shared" si="5"/>
        <v>-1899</v>
      </c>
      <c r="I36" s="26" t="s">
        <v>75</v>
      </c>
      <c r="J36" s="27" t="s">
        <v>76</v>
      </c>
      <c r="K36" s="26">
        <v>-1899</v>
      </c>
      <c r="L36" s="26" t="s">
        <v>77</v>
      </c>
      <c r="M36" s="27" t="s">
        <v>72</v>
      </c>
      <c r="N36" s="27"/>
      <c r="O36" s="28" t="s">
        <v>73</v>
      </c>
      <c r="P36" s="28" t="s">
        <v>74</v>
      </c>
    </row>
    <row r="37" spans="1:16" ht="12.75" customHeight="1" thickBot="1" x14ac:dyDescent="0.25">
      <c r="A37" s="17" t="str">
        <f t="shared" si="0"/>
        <v> HC 114 </v>
      </c>
      <c r="B37" s="5" t="str">
        <f t="shared" si="1"/>
        <v>I</v>
      </c>
      <c r="C37" s="17">
        <f t="shared" si="2"/>
        <v>12085.664000000001</v>
      </c>
      <c r="D37" s="4" t="str">
        <f t="shared" si="3"/>
        <v>vis</v>
      </c>
      <c r="E37" s="25">
        <f>VLOOKUP(C37,Active!C$21:E$973,3,FALSE)</f>
        <v>-1864.9594996675482</v>
      </c>
      <c r="F37" s="5" t="s">
        <v>67</v>
      </c>
      <c r="G37" s="4" t="str">
        <f t="shared" si="4"/>
        <v>12085.664</v>
      </c>
      <c r="H37" s="17">
        <f t="shared" si="5"/>
        <v>-1865</v>
      </c>
      <c r="I37" s="26" t="s">
        <v>78</v>
      </c>
      <c r="J37" s="27" t="s">
        <v>79</v>
      </c>
      <c r="K37" s="26">
        <v>-1865</v>
      </c>
      <c r="L37" s="26" t="s">
        <v>80</v>
      </c>
      <c r="M37" s="27" t="s">
        <v>72</v>
      </c>
      <c r="N37" s="27"/>
      <c r="O37" s="28" t="s">
        <v>73</v>
      </c>
      <c r="P37" s="28" t="s">
        <v>74</v>
      </c>
    </row>
    <row r="38" spans="1:16" ht="12.75" customHeight="1" thickBot="1" x14ac:dyDescent="0.25">
      <c r="A38" s="17" t="str">
        <f t="shared" si="0"/>
        <v> HC 114 </v>
      </c>
      <c r="B38" s="5" t="str">
        <f t="shared" si="1"/>
        <v>I</v>
      </c>
      <c r="C38" s="17">
        <f t="shared" si="2"/>
        <v>13946.665000000001</v>
      </c>
      <c r="D38" s="4" t="str">
        <f t="shared" si="3"/>
        <v>vis</v>
      </c>
      <c r="E38" s="25">
        <f>VLOOKUP(C38,Active!C$21:E$973,3,FALSE)</f>
        <v>-1723.9628684321062</v>
      </c>
      <c r="F38" s="5" t="s">
        <v>67</v>
      </c>
      <c r="G38" s="4" t="str">
        <f t="shared" si="4"/>
        <v>13946.665</v>
      </c>
      <c r="H38" s="17">
        <f t="shared" si="5"/>
        <v>-1724</v>
      </c>
      <c r="I38" s="26" t="s">
        <v>81</v>
      </c>
      <c r="J38" s="27" t="s">
        <v>82</v>
      </c>
      <c r="K38" s="26">
        <v>-1724</v>
      </c>
      <c r="L38" s="26" t="s">
        <v>83</v>
      </c>
      <c r="M38" s="27" t="s">
        <v>72</v>
      </c>
      <c r="N38" s="27"/>
      <c r="O38" s="28" t="s">
        <v>73</v>
      </c>
      <c r="P38" s="28" t="s">
        <v>74</v>
      </c>
    </row>
    <row r="39" spans="1:16" ht="12.75" customHeight="1" thickBot="1" x14ac:dyDescent="0.25">
      <c r="A39" s="17" t="str">
        <f t="shared" si="0"/>
        <v> HC 114 </v>
      </c>
      <c r="B39" s="5" t="str">
        <f t="shared" si="1"/>
        <v>I</v>
      </c>
      <c r="C39" s="17">
        <f t="shared" si="2"/>
        <v>14619.707</v>
      </c>
      <c r="D39" s="4" t="str">
        <f t="shared" si="3"/>
        <v>vis</v>
      </c>
      <c r="E39" s="25">
        <f>VLOOKUP(C39,Active!C$21:E$973,3,FALSE)</f>
        <v>-1672.9706042259268</v>
      </c>
      <c r="F39" s="5" t="s">
        <v>67</v>
      </c>
      <c r="G39" s="4" t="str">
        <f t="shared" si="4"/>
        <v>14619.707</v>
      </c>
      <c r="H39" s="17">
        <f t="shared" si="5"/>
        <v>-1673</v>
      </c>
      <c r="I39" s="26" t="s">
        <v>84</v>
      </c>
      <c r="J39" s="27" t="s">
        <v>85</v>
      </c>
      <c r="K39" s="26">
        <v>-1673</v>
      </c>
      <c r="L39" s="26" t="s">
        <v>86</v>
      </c>
      <c r="M39" s="27" t="s">
        <v>72</v>
      </c>
      <c r="N39" s="27"/>
      <c r="O39" s="28" t="s">
        <v>73</v>
      </c>
      <c r="P39" s="28" t="s">
        <v>74</v>
      </c>
    </row>
    <row r="40" spans="1:16" ht="12.75" customHeight="1" thickBot="1" x14ac:dyDescent="0.25">
      <c r="A40" s="17" t="str">
        <f t="shared" si="0"/>
        <v> HC 114 </v>
      </c>
      <c r="B40" s="5" t="str">
        <f t="shared" si="1"/>
        <v>I</v>
      </c>
      <c r="C40" s="17">
        <f t="shared" si="2"/>
        <v>15424.569</v>
      </c>
      <c r="D40" s="4" t="str">
        <f t="shared" si="3"/>
        <v>vis</v>
      </c>
      <c r="E40" s="25">
        <f>VLOOKUP(C40,Active!C$21:E$973,3,FALSE)</f>
        <v>-1611.9911471437329</v>
      </c>
      <c r="F40" s="5" t="s">
        <v>67</v>
      </c>
      <c r="G40" s="4" t="str">
        <f t="shared" si="4"/>
        <v>15424.569</v>
      </c>
      <c r="H40" s="17">
        <f t="shared" si="5"/>
        <v>-1612</v>
      </c>
      <c r="I40" s="26" t="s">
        <v>87</v>
      </c>
      <c r="J40" s="27" t="s">
        <v>88</v>
      </c>
      <c r="K40" s="26">
        <v>-1612</v>
      </c>
      <c r="L40" s="26" t="s">
        <v>89</v>
      </c>
      <c r="M40" s="27" t="s">
        <v>72</v>
      </c>
      <c r="N40" s="27"/>
      <c r="O40" s="28" t="s">
        <v>73</v>
      </c>
      <c r="P40" s="28" t="s">
        <v>74</v>
      </c>
    </row>
    <row r="41" spans="1:16" ht="12.75" customHeight="1" thickBot="1" x14ac:dyDescent="0.25">
      <c r="A41" s="17" t="str">
        <f t="shared" si="0"/>
        <v> HC 114 </v>
      </c>
      <c r="B41" s="5" t="str">
        <f t="shared" si="1"/>
        <v>I</v>
      </c>
      <c r="C41" s="17">
        <f t="shared" si="2"/>
        <v>15767.647000000001</v>
      </c>
      <c r="D41" s="4" t="str">
        <f t="shared" si="3"/>
        <v>vis</v>
      </c>
      <c r="E41" s="25">
        <f>VLOOKUP(C41,Active!C$21:E$973,3,FALSE)</f>
        <v>-1585.9982313683017</v>
      </c>
      <c r="F41" s="5" t="s">
        <v>67</v>
      </c>
      <c r="G41" s="4" t="str">
        <f t="shared" si="4"/>
        <v>15767.647</v>
      </c>
      <c r="H41" s="17">
        <f t="shared" si="5"/>
        <v>-1586</v>
      </c>
      <c r="I41" s="26" t="s">
        <v>90</v>
      </c>
      <c r="J41" s="27" t="s">
        <v>91</v>
      </c>
      <c r="K41" s="26">
        <v>-1586</v>
      </c>
      <c r="L41" s="26" t="s">
        <v>92</v>
      </c>
      <c r="M41" s="27" t="s">
        <v>72</v>
      </c>
      <c r="N41" s="27"/>
      <c r="O41" s="28" t="s">
        <v>73</v>
      </c>
      <c r="P41" s="28" t="s">
        <v>74</v>
      </c>
    </row>
    <row r="42" spans="1:16" ht="12.75" customHeight="1" thickBot="1" x14ac:dyDescent="0.25">
      <c r="A42" s="17" t="str">
        <f t="shared" si="0"/>
        <v> HC 114 </v>
      </c>
      <c r="B42" s="5" t="str">
        <f t="shared" si="1"/>
        <v>I</v>
      </c>
      <c r="C42" s="17">
        <f t="shared" si="2"/>
        <v>16031.83</v>
      </c>
      <c r="D42" s="4" t="str">
        <f t="shared" si="3"/>
        <v>vis</v>
      </c>
      <c r="E42" s="25">
        <f>VLOOKUP(C42,Active!C$21:E$973,3,FALSE)</f>
        <v>-1565.9827058367878</v>
      </c>
      <c r="F42" s="5" t="s">
        <v>67</v>
      </c>
      <c r="G42" s="4" t="str">
        <f t="shared" si="4"/>
        <v>16031.830</v>
      </c>
      <c r="H42" s="17">
        <f t="shared" si="5"/>
        <v>-1566</v>
      </c>
      <c r="I42" s="26" t="s">
        <v>93</v>
      </c>
      <c r="J42" s="27" t="s">
        <v>94</v>
      </c>
      <c r="K42" s="26">
        <v>-1566</v>
      </c>
      <c r="L42" s="26" t="s">
        <v>95</v>
      </c>
      <c r="M42" s="27" t="s">
        <v>72</v>
      </c>
      <c r="N42" s="27"/>
      <c r="O42" s="28" t="s">
        <v>73</v>
      </c>
      <c r="P42" s="28" t="s">
        <v>74</v>
      </c>
    </row>
    <row r="43" spans="1:16" ht="12.75" customHeight="1" thickBot="1" x14ac:dyDescent="0.25">
      <c r="A43" s="17" t="str">
        <f t="shared" ref="A43:A74" si="6">P43</f>
        <v> HC 114 </v>
      </c>
      <c r="B43" s="5" t="str">
        <f t="shared" ref="B43:B74" si="7">IF(H43=INT(H43),"I","II")</f>
        <v>I</v>
      </c>
      <c r="C43" s="17">
        <f t="shared" ref="C43:C74" si="8">1*G43</f>
        <v>16111.646000000001</v>
      </c>
      <c r="D43" s="4" t="str">
        <f t="shared" ref="D43:D74" si="9">VLOOKUP(F43,I$1:J$5,2,FALSE)</f>
        <v>vis</v>
      </c>
      <c r="E43" s="25">
        <f>VLOOKUP(C43,Active!C$21:E$973,3,FALSE)</f>
        <v>-1559.9355370718661</v>
      </c>
      <c r="F43" s="5" t="s">
        <v>67</v>
      </c>
      <c r="G43" s="4" t="str">
        <f t="shared" ref="G43:G74" si="10">MID(I43,3,LEN(I43)-3)</f>
        <v>16111.646</v>
      </c>
      <c r="H43" s="17">
        <f t="shared" ref="H43:H74" si="11">1*K43</f>
        <v>-1560</v>
      </c>
      <c r="I43" s="26" t="s">
        <v>96</v>
      </c>
      <c r="J43" s="27" t="s">
        <v>97</v>
      </c>
      <c r="K43" s="26">
        <v>-1560</v>
      </c>
      <c r="L43" s="26" t="s">
        <v>98</v>
      </c>
      <c r="M43" s="27" t="s">
        <v>72</v>
      </c>
      <c r="N43" s="27"/>
      <c r="O43" s="28" t="s">
        <v>73</v>
      </c>
      <c r="P43" s="28" t="s">
        <v>74</v>
      </c>
    </row>
    <row r="44" spans="1:16" ht="12.75" customHeight="1" thickBot="1" x14ac:dyDescent="0.25">
      <c r="A44" s="17" t="str">
        <f t="shared" si="6"/>
        <v> HC 114 </v>
      </c>
      <c r="B44" s="5" t="str">
        <f t="shared" si="7"/>
        <v>I</v>
      </c>
      <c r="C44" s="17">
        <f t="shared" si="8"/>
        <v>16401.769</v>
      </c>
      <c r="D44" s="4" t="str">
        <f t="shared" si="9"/>
        <v>vis</v>
      </c>
      <c r="E44" s="25">
        <f>VLOOKUP(C44,Active!C$21:E$973,3,FALSE)</f>
        <v>-1537.9546968445261</v>
      </c>
      <c r="F44" s="5" t="s">
        <v>67</v>
      </c>
      <c r="G44" s="4" t="str">
        <f t="shared" si="10"/>
        <v>16401.769</v>
      </c>
      <c r="H44" s="17">
        <f t="shared" si="11"/>
        <v>-1538</v>
      </c>
      <c r="I44" s="26" t="s">
        <v>99</v>
      </c>
      <c r="J44" s="27" t="s">
        <v>100</v>
      </c>
      <c r="K44" s="26">
        <v>-1538</v>
      </c>
      <c r="L44" s="26" t="s">
        <v>101</v>
      </c>
      <c r="M44" s="27" t="s">
        <v>72</v>
      </c>
      <c r="N44" s="27"/>
      <c r="O44" s="28" t="s">
        <v>73</v>
      </c>
      <c r="P44" s="28" t="s">
        <v>74</v>
      </c>
    </row>
    <row r="45" spans="1:16" ht="12.75" customHeight="1" thickBot="1" x14ac:dyDescent="0.25">
      <c r="A45" s="17" t="str">
        <f t="shared" si="6"/>
        <v> HC 114 </v>
      </c>
      <c r="B45" s="5" t="str">
        <f t="shared" si="7"/>
        <v>I</v>
      </c>
      <c r="C45" s="17">
        <f t="shared" si="8"/>
        <v>16414.777999999998</v>
      </c>
      <c r="D45" s="4" t="str">
        <f t="shared" si="9"/>
        <v>vis</v>
      </c>
      <c r="E45" s="25">
        <f>VLOOKUP(C45,Active!C$21:E$973,3,FALSE)</f>
        <v>-1536.9690847058214</v>
      </c>
      <c r="F45" s="5" t="s">
        <v>67</v>
      </c>
      <c r="G45" s="4" t="str">
        <f t="shared" si="10"/>
        <v>16414.778</v>
      </c>
      <c r="H45" s="17">
        <f t="shared" si="11"/>
        <v>-1537</v>
      </c>
      <c r="I45" s="26" t="s">
        <v>102</v>
      </c>
      <c r="J45" s="27" t="s">
        <v>103</v>
      </c>
      <c r="K45" s="26">
        <v>-1537</v>
      </c>
      <c r="L45" s="26" t="s">
        <v>104</v>
      </c>
      <c r="M45" s="27" t="s">
        <v>72</v>
      </c>
      <c r="N45" s="27"/>
      <c r="O45" s="28" t="s">
        <v>73</v>
      </c>
      <c r="P45" s="28" t="s">
        <v>74</v>
      </c>
    </row>
    <row r="46" spans="1:16" ht="12.75" customHeight="1" thickBot="1" x14ac:dyDescent="0.25">
      <c r="A46" s="17" t="str">
        <f t="shared" si="6"/>
        <v> HC 114 </v>
      </c>
      <c r="B46" s="5" t="str">
        <f t="shared" si="7"/>
        <v>I</v>
      </c>
      <c r="C46" s="17">
        <f t="shared" si="8"/>
        <v>16427.746999999999</v>
      </c>
      <c r="D46" s="4" t="str">
        <f t="shared" si="9"/>
        <v>vis</v>
      </c>
      <c r="E46" s="25">
        <f>VLOOKUP(C46,Active!C$21:E$973,3,FALSE)</f>
        <v>-1535.9865031217746</v>
      </c>
      <c r="F46" s="5" t="s">
        <v>67</v>
      </c>
      <c r="G46" s="4" t="str">
        <f t="shared" si="10"/>
        <v>16427.747</v>
      </c>
      <c r="H46" s="17">
        <f t="shared" si="11"/>
        <v>-1536</v>
      </c>
      <c r="I46" s="26" t="s">
        <v>105</v>
      </c>
      <c r="J46" s="27" t="s">
        <v>106</v>
      </c>
      <c r="K46" s="26">
        <v>-1536</v>
      </c>
      <c r="L46" s="26" t="s">
        <v>107</v>
      </c>
      <c r="M46" s="27" t="s">
        <v>72</v>
      </c>
      <c r="N46" s="27"/>
      <c r="O46" s="28" t="s">
        <v>73</v>
      </c>
      <c r="P46" s="28" t="s">
        <v>74</v>
      </c>
    </row>
    <row r="47" spans="1:16" ht="12.75" customHeight="1" thickBot="1" x14ac:dyDescent="0.25">
      <c r="A47" s="17" t="str">
        <f t="shared" si="6"/>
        <v> HC 114 </v>
      </c>
      <c r="B47" s="5" t="str">
        <f t="shared" si="7"/>
        <v>I</v>
      </c>
      <c r="C47" s="17">
        <f t="shared" si="8"/>
        <v>16467.668000000001</v>
      </c>
      <c r="D47" s="4" t="str">
        <f t="shared" si="9"/>
        <v>vis</v>
      </c>
      <c r="E47" s="25">
        <f>VLOOKUP(C47,Active!C$21:E$973,3,FALSE)</f>
        <v>-1532.9619338090497</v>
      </c>
      <c r="F47" s="5" t="s">
        <v>67</v>
      </c>
      <c r="G47" s="4" t="str">
        <f t="shared" si="10"/>
        <v>16467.668</v>
      </c>
      <c r="H47" s="17">
        <f t="shared" si="11"/>
        <v>-1533</v>
      </c>
      <c r="I47" s="26" t="s">
        <v>108</v>
      </c>
      <c r="J47" s="27" t="s">
        <v>109</v>
      </c>
      <c r="K47" s="26">
        <v>-1533</v>
      </c>
      <c r="L47" s="26" t="s">
        <v>110</v>
      </c>
      <c r="M47" s="27" t="s">
        <v>72</v>
      </c>
      <c r="N47" s="27"/>
      <c r="O47" s="28" t="s">
        <v>73</v>
      </c>
      <c r="P47" s="28" t="s">
        <v>74</v>
      </c>
    </row>
    <row r="48" spans="1:16" ht="12.75" customHeight="1" thickBot="1" x14ac:dyDescent="0.25">
      <c r="A48" s="17" t="str">
        <f t="shared" si="6"/>
        <v> HC 114 </v>
      </c>
      <c r="B48" s="5" t="str">
        <f t="shared" si="7"/>
        <v>I</v>
      </c>
      <c r="C48" s="17">
        <f t="shared" si="8"/>
        <v>16507.595000000001</v>
      </c>
      <c r="D48" s="4" t="str">
        <f t="shared" si="9"/>
        <v>vis</v>
      </c>
      <c r="E48" s="25">
        <f>VLOOKUP(C48,Active!C$21:E$973,3,FALSE)</f>
        <v>-1529.9369099131263</v>
      </c>
      <c r="F48" s="5" t="s">
        <v>67</v>
      </c>
      <c r="G48" s="4" t="str">
        <f t="shared" si="10"/>
        <v>16507.595</v>
      </c>
      <c r="H48" s="17">
        <f t="shared" si="11"/>
        <v>-1530</v>
      </c>
      <c r="I48" s="26" t="s">
        <v>111</v>
      </c>
      <c r="J48" s="27" t="s">
        <v>112</v>
      </c>
      <c r="K48" s="26">
        <v>-1530</v>
      </c>
      <c r="L48" s="26" t="s">
        <v>113</v>
      </c>
      <c r="M48" s="27" t="s">
        <v>72</v>
      </c>
      <c r="N48" s="27"/>
      <c r="O48" s="28" t="s">
        <v>73</v>
      </c>
      <c r="P48" s="28" t="s">
        <v>74</v>
      </c>
    </row>
    <row r="49" spans="1:16" ht="12.75" customHeight="1" thickBot="1" x14ac:dyDescent="0.25">
      <c r="A49" s="17" t="str">
        <f t="shared" si="6"/>
        <v> HC 114 </v>
      </c>
      <c r="B49" s="5" t="str">
        <f t="shared" si="7"/>
        <v>I</v>
      </c>
      <c r="C49" s="17">
        <f t="shared" si="8"/>
        <v>16757.837</v>
      </c>
      <c r="D49" s="4" t="str">
        <f t="shared" si="9"/>
        <v>vis</v>
      </c>
      <c r="E49" s="25">
        <f>VLOOKUP(C49,Active!C$21:E$973,3,FALSE)</f>
        <v>-1510.9776084438529</v>
      </c>
      <c r="F49" s="5" t="s">
        <v>67</v>
      </c>
      <c r="G49" s="4" t="str">
        <f t="shared" si="10"/>
        <v>16757.837</v>
      </c>
      <c r="H49" s="17">
        <f t="shared" si="11"/>
        <v>-1511</v>
      </c>
      <c r="I49" s="26" t="s">
        <v>114</v>
      </c>
      <c r="J49" s="27" t="s">
        <v>115</v>
      </c>
      <c r="K49" s="26">
        <v>-1511</v>
      </c>
      <c r="L49" s="26" t="s">
        <v>116</v>
      </c>
      <c r="M49" s="27" t="s">
        <v>72</v>
      </c>
      <c r="N49" s="27"/>
      <c r="O49" s="28" t="s">
        <v>73</v>
      </c>
      <c r="P49" s="28" t="s">
        <v>74</v>
      </c>
    </row>
    <row r="50" spans="1:16" ht="12.75" customHeight="1" thickBot="1" x14ac:dyDescent="0.25">
      <c r="A50" s="17" t="str">
        <f t="shared" si="6"/>
        <v> HC 114 </v>
      </c>
      <c r="B50" s="5" t="str">
        <f t="shared" si="7"/>
        <v>I</v>
      </c>
      <c r="C50" s="17">
        <f t="shared" si="8"/>
        <v>16770.746999999999</v>
      </c>
      <c r="D50" s="4" t="str">
        <f t="shared" si="9"/>
        <v>vis</v>
      </c>
      <c r="E50" s="25">
        <f>VLOOKUP(C50,Active!C$21:E$973,3,FALSE)</f>
        <v>-1509.9994969279269</v>
      </c>
      <c r="F50" s="5" t="s">
        <v>67</v>
      </c>
      <c r="G50" s="4" t="str">
        <f t="shared" si="10"/>
        <v>16770.747</v>
      </c>
      <c r="H50" s="17">
        <f t="shared" si="11"/>
        <v>-1510</v>
      </c>
      <c r="I50" s="26" t="s">
        <v>117</v>
      </c>
      <c r="J50" s="27" t="s">
        <v>118</v>
      </c>
      <c r="K50" s="26">
        <v>-1510</v>
      </c>
      <c r="L50" s="26" t="s">
        <v>119</v>
      </c>
      <c r="M50" s="27" t="s">
        <v>72</v>
      </c>
      <c r="N50" s="27"/>
      <c r="O50" s="28" t="s">
        <v>73</v>
      </c>
      <c r="P50" s="28" t="s">
        <v>74</v>
      </c>
    </row>
    <row r="51" spans="1:16" ht="12.75" customHeight="1" thickBot="1" x14ac:dyDescent="0.25">
      <c r="A51" s="17" t="str">
        <f t="shared" si="6"/>
        <v> HC 114 </v>
      </c>
      <c r="B51" s="5" t="str">
        <f t="shared" si="7"/>
        <v>I</v>
      </c>
      <c r="C51" s="17">
        <f t="shared" si="8"/>
        <v>16810.670999999998</v>
      </c>
      <c r="D51" s="4" t="str">
        <f t="shared" si="9"/>
        <v>vis</v>
      </c>
      <c r="E51" s="25">
        <f>VLOOKUP(C51,Active!C$21:E$973,3,FALSE)</f>
        <v>-1506.974700323603</v>
      </c>
      <c r="F51" s="5" t="s">
        <v>67</v>
      </c>
      <c r="G51" s="4" t="str">
        <f t="shared" si="10"/>
        <v>16810.671</v>
      </c>
      <c r="H51" s="17">
        <f t="shared" si="11"/>
        <v>-1507</v>
      </c>
      <c r="I51" s="26" t="s">
        <v>120</v>
      </c>
      <c r="J51" s="27" t="s">
        <v>121</v>
      </c>
      <c r="K51" s="26">
        <v>-1507</v>
      </c>
      <c r="L51" s="26" t="s">
        <v>122</v>
      </c>
      <c r="M51" s="27" t="s">
        <v>72</v>
      </c>
      <c r="N51" s="27"/>
      <c r="O51" s="28" t="s">
        <v>73</v>
      </c>
      <c r="P51" s="28" t="s">
        <v>74</v>
      </c>
    </row>
    <row r="52" spans="1:16" ht="12.75" customHeight="1" thickBot="1" x14ac:dyDescent="0.25">
      <c r="A52" s="17" t="str">
        <f t="shared" si="6"/>
        <v> HC 114 </v>
      </c>
      <c r="B52" s="5" t="str">
        <f t="shared" si="7"/>
        <v>I</v>
      </c>
      <c r="C52" s="17">
        <f t="shared" si="8"/>
        <v>16823.782999999999</v>
      </c>
      <c r="D52" s="4" t="str">
        <f t="shared" si="9"/>
        <v>vis</v>
      </c>
      <c r="E52" s="25">
        <f>VLOOKUP(C52,Active!C$21:E$973,3,FALSE)</f>
        <v>-1505.9812845066533</v>
      </c>
      <c r="F52" s="5" t="s">
        <v>67</v>
      </c>
      <c r="G52" s="4" t="str">
        <f t="shared" si="10"/>
        <v>16823.783</v>
      </c>
      <c r="H52" s="17">
        <f t="shared" si="11"/>
        <v>-1506</v>
      </c>
      <c r="I52" s="26" t="s">
        <v>123</v>
      </c>
      <c r="J52" s="27" t="s">
        <v>124</v>
      </c>
      <c r="K52" s="26">
        <v>-1506</v>
      </c>
      <c r="L52" s="26" t="s">
        <v>125</v>
      </c>
      <c r="M52" s="27" t="s">
        <v>72</v>
      </c>
      <c r="N52" s="27"/>
      <c r="O52" s="28" t="s">
        <v>73</v>
      </c>
      <c r="P52" s="28" t="s">
        <v>74</v>
      </c>
    </row>
    <row r="53" spans="1:16" ht="12.75" customHeight="1" thickBot="1" x14ac:dyDescent="0.25">
      <c r="A53" s="17" t="str">
        <f t="shared" si="6"/>
        <v> HC 114 </v>
      </c>
      <c r="B53" s="5" t="str">
        <f t="shared" si="7"/>
        <v>I</v>
      </c>
      <c r="C53" s="17">
        <f t="shared" si="8"/>
        <v>16916.615000000002</v>
      </c>
      <c r="D53" s="4" t="str">
        <f t="shared" si="9"/>
        <v>vis</v>
      </c>
      <c r="E53" s="25">
        <f>VLOOKUP(C53,Active!C$21:E$973,3,FALSE)</f>
        <v>-1498.9479732559614</v>
      </c>
      <c r="F53" s="5" t="s">
        <v>67</v>
      </c>
      <c r="G53" s="4" t="str">
        <f t="shared" si="10"/>
        <v>16916.615</v>
      </c>
      <c r="H53" s="17">
        <f t="shared" si="11"/>
        <v>-1499</v>
      </c>
      <c r="I53" s="26" t="s">
        <v>126</v>
      </c>
      <c r="J53" s="27" t="s">
        <v>127</v>
      </c>
      <c r="K53" s="26">
        <v>-1499</v>
      </c>
      <c r="L53" s="26" t="s">
        <v>128</v>
      </c>
      <c r="M53" s="27" t="s">
        <v>72</v>
      </c>
      <c r="N53" s="27"/>
      <c r="O53" s="28" t="s">
        <v>73</v>
      </c>
      <c r="P53" s="28" t="s">
        <v>74</v>
      </c>
    </row>
    <row r="54" spans="1:16" ht="12.75" customHeight="1" thickBot="1" x14ac:dyDescent="0.25">
      <c r="A54" s="17" t="str">
        <f t="shared" si="6"/>
        <v> HC 114 </v>
      </c>
      <c r="B54" s="5" t="str">
        <f t="shared" si="7"/>
        <v>I</v>
      </c>
      <c r="C54" s="17">
        <f t="shared" si="8"/>
        <v>17074.834999999999</v>
      </c>
      <c r="D54" s="4" t="str">
        <f t="shared" si="9"/>
        <v>vis</v>
      </c>
      <c r="E54" s="25">
        <f>VLOOKUP(C54,Active!C$21:E$973,3,FALSE)</f>
        <v>-1486.9606143055516</v>
      </c>
      <c r="F54" s="5" t="s">
        <v>67</v>
      </c>
      <c r="G54" s="4" t="str">
        <f t="shared" si="10"/>
        <v>17074.835</v>
      </c>
      <c r="H54" s="17">
        <f t="shared" si="11"/>
        <v>-1487</v>
      </c>
      <c r="I54" s="26" t="s">
        <v>129</v>
      </c>
      <c r="J54" s="27" t="s">
        <v>130</v>
      </c>
      <c r="K54" s="26">
        <v>-1487</v>
      </c>
      <c r="L54" s="26" t="s">
        <v>131</v>
      </c>
      <c r="M54" s="27" t="s">
        <v>72</v>
      </c>
      <c r="N54" s="27"/>
      <c r="O54" s="28" t="s">
        <v>73</v>
      </c>
      <c r="P54" s="28" t="s">
        <v>74</v>
      </c>
    </row>
    <row r="55" spans="1:16" ht="12.75" customHeight="1" thickBot="1" x14ac:dyDescent="0.25">
      <c r="A55" s="17" t="str">
        <f t="shared" si="6"/>
        <v> HC 114 </v>
      </c>
      <c r="B55" s="5" t="str">
        <f t="shared" si="7"/>
        <v>I</v>
      </c>
      <c r="C55" s="17">
        <f t="shared" si="8"/>
        <v>17259.542000000001</v>
      </c>
      <c r="D55" s="4" t="str">
        <f t="shared" si="9"/>
        <v>vis</v>
      </c>
      <c r="E55" s="25">
        <f>VLOOKUP(C55,Active!C$21:E$973,3,FALSE)</f>
        <v>-1472.966497824365</v>
      </c>
      <c r="F55" s="5" t="s">
        <v>67</v>
      </c>
      <c r="G55" s="4" t="str">
        <f t="shared" si="10"/>
        <v>17259.542</v>
      </c>
      <c r="H55" s="17">
        <f t="shared" si="11"/>
        <v>-1473</v>
      </c>
      <c r="I55" s="26" t="s">
        <v>132</v>
      </c>
      <c r="J55" s="27" t="s">
        <v>133</v>
      </c>
      <c r="K55" s="26">
        <v>-1473</v>
      </c>
      <c r="L55" s="26" t="s">
        <v>134</v>
      </c>
      <c r="M55" s="27" t="s">
        <v>72</v>
      </c>
      <c r="N55" s="27"/>
      <c r="O55" s="28" t="s">
        <v>73</v>
      </c>
      <c r="P55" s="28" t="s">
        <v>74</v>
      </c>
    </row>
    <row r="56" spans="1:16" ht="12.75" customHeight="1" thickBot="1" x14ac:dyDescent="0.25">
      <c r="A56" s="17" t="str">
        <f t="shared" si="6"/>
        <v> VB 1.11 </v>
      </c>
      <c r="B56" s="5" t="str">
        <f t="shared" si="7"/>
        <v>I</v>
      </c>
      <c r="C56" s="17">
        <f t="shared" si="8"/>
        <v>17312.338</v>
      </c>
      <c r="D56" s="4" t="str">
        <f t="shared" si="9"/>
        <v>vis</v>
      </c>
      <c r="E56" s="25">
        <f>VLOOKUP(C56,Active!C$21:E$973,3,FALSE)</f>
        <v>-1468.9664687310403</v>
      </c>
      <c r="F56" s="5" t="s">
        <v>67</v>
      </c>
      <c r="G56" s="4" t="str">
        <f t="shared" si="10"/>
        <v>17312.338</v>
      </c>
      <c r="H56" s="17">
        <f t="shared" si="11"/>
        <v>-1469</v>
      </c>
      <c r="I56" s="26" t="s">
        <v>135</v>
      </c>
      <c r="J56" s="27" t="s">
        <v>136</v>
      </c>
      <c r="K56" s="26">
        <v>-1469</v>
      </c>
      <c r="L56" s="26" t="s">
        <v>137</v>
      </c>
      <c r="M56" s="27" t="s">
        <v>138</v>
      </c>
      <c r="N56" s="27"/>
      <c r="O56" s="28" t="s">
        <v>139</v>
      </c>
      <c r="P56" s="28" t="s">
        <v>140</v>
      </c>
    </row>
    <row r="57" spans="1:16" ht="12.75" customHeight="1" thickBot="1" x14ac:dyDescent="0.25">
      <c r="A57" s="17" t="str">
        <f t="shared" si="6"/>
        <v> VB 1.11 </v>
      </c>
      <c r="B57" s="5" t="str">
        <f t="shared" si="7"/>
        <v>I</v>
      </c>
      <c r="C57" s="17">
        <f t="shared" si="8"/>
        <v>17497.125</v>
      </c>
      <c r="D57" s="4" t="str">
        <f t="shared" si="9"/>
        <v>vis</v>
      </c>
      <c r="E57" s="25">
        <f>VLOOKUP(C57,Active!C$21:E$973,3,FALSE)</f>
        <v>-1454.9662911405374</v>
      </c>
      <c r="F57" s="5" t="s">
        <v>67</v>
      </c>
      <c r="G57" s="4" t="str">
        <f t="shared" si="10"/>
        <v>17497.125</v>
      </c>
      <c r="H57" s="17">
        <f t="shared" si="11"/>
        <v>-1455</v>
      </c>
      <c r="I57" s="26" t="s">
        <v>141</v>
      </c>
      <c r="J57" s="27" t="s">
        <v>142</v>
      </c>
      <c r="K57" s="26">
        <v>-1455</v>
      </c>
      <c r="L57" s="26" t="s">
        <v>143</v>
      </c>
      <c r="M57" s="27" t="s">
        <v>138</v>
      </c>
      <c r="N57" s="27"/>
      <c r="O57" s="28" t="s">
        <v>139</v>
      </c>
      <c r="P57" s="28" t="s">
        <v>140</v>
      </c>
    </row>
    <row r="58" spans="1:16" ht="12.75" customHeight="1" thickBot="1" x14ac:dyDescent="0.25">
      <c r="A58" s="17" t="str">
        <f t="shared" si="6"/>
        <v> VB 1.11 </v>
      </c>
      <c r="B58" s="5" t="str">
        <f t="shared" si="7"/>
        <v>I</v>
      </c>
      <c r="C58" s="17">
        <f t="shared" si="8"/>
        <v>17523.5</v>
      </c>
      <c r="D58" s="4" t="str">
        <f t="shared" si="9"/>
        <v>vis</v>
      </c>
      <c r="E58" s="25">
        <f>VLOOKUP(C58,Active!C$21:E$973,3,FALSE)</f>
        <v>-1452.9680191628033</v>
      </c>
      <c r="F58" s="5" t="s">
        <v>67</v>
      </c>
      <c r="G58" s="4" t="str">
        <f t="shared" si="10"/>
        <v>17523.500</v>
      </c>
      <c r="H58" s="17">
        <f t="shared" si="11"/>
        <v>-1453</v>
      </c>
      <c r="I58" s="26" t="s">
        <v>144</v>
      </c>
      <c r="J58" s="27" t="s">
        <v>145</v>
      </c>
      <c r="K58" s="26">
        <v>-1453</v>
      </c>
      <c r="L58" s="26" t="s">
        <v>146</v>
      </c>
      <c r="M58" s="27" t="s">
        <v>138</v>
      </c>
      <c r="N58" s="27"/>
      <c r="O58" s="28" t="s">
        <v>139</v>
      </c>
      <c r="P58" s="28" t="s">
        <v>140</v>
      </c>
    </row>
    <row r="59" spans="1:16" ht="12.75" customHeight="1" thickBot="1" x14ac:dyDescent="0.25">
      <c r="A59" s="17" t="str">
        <f t="shared" si="6"/>
        <v> AA 11.48 </v>
      </c>
      <c r="B59" s="5" t="str">
        <f t="shared" si="7"/>
        <v>I</v>
      </c>
      <c r="C59" s="17">
        <f t="shared" si="8"/>
        <v>24136.16</v>
      </c>
      <c r="D59" s="4" t="str">
        <f t="shared" si="9"/>
        <v>vis</v>
      </c>
      <c r="E59" s="25">
        <f>VLOOKUP(C59,Active!C$21:E$973,3,FALSE)</f>
        <v>-951.96733001467419</v>
      </c>
      <c r="F59" s="5" t="s">
        <v>67</v>
      </c>
      <c r="G59" s="4" t="str">
        <f t="shared" si="10"/>
        <v>24136.160</v>
      </c>
      <c r="H59" s="17">
        <f t="shared" si="11"/>
        <v>-952</v>
      </c>
      <c r="I59" s="26" t="s">
        <v>147</v>
      </c>
      <c r="J59" s="27" t="s">
        <v>148</v>
      </c>
      <c r="K59" s="26">
        <v>-952</v>
      </c>
      <c r="L59" s="26" t="s">
        <v>149</v>
      </c>
      <c r="M59" s="27" t="s">
        <v>138</v>
      </c>
      <c r="N59" s="27"/>
      <c r="O59" s="28" t="s">
        <v>150</v>
      </c>
      <c r="P59" s="28" t="s">
        <v>151</v>
      </c>
    </row>
    <row r="60" spans="1:16" ht="12.75" customHeight="1" thickBot="1" x14ac:dyDescent="0.25">
      <c r="A60" s="17" t="str">
        <f t="shared" si="6"/>
        <v> AA 11.48 </v>
      </c>
      <c r="B60" s="5" t="str">
        <f t="shared" si="7"/>
        <v>I</v>
      </c>
      <c r="C60" s="17">
        <f t="shared" si="8"/>
        <v>25152.442999999999</v>
      </c>
      <c r="D60" s="4" t="str">
        <f t="shared" si="9"/>
        <v>vis</v>
      </c>
      <c r="E60" s="25">
        <f>VLOOKUP(C60,Active!C$21:E$973,3,FALSE)</f>
        <v>-874.96980052283152</v>
      </c>
      <c r="F60" s="5" t="s">
        <v>67</v>
      </c>
      <c r="G60" s="4" t="str">
        <f t="shared" si="10"/>
        <v>25152.443</v>
      </c>
      <c r="H60" s="17">
        <f t="shared" si="11"/>
        <v>-875</v>
      </c>
      <c r="I60" s="26" t="s">
        <v>152</v>
      </c>
      <c r="J60" s="27" t="s">
        <v>153</v>
      </c>
      <c r="K60" s="26">
        <v>-875</v>
      </c>
      <c r="L60" s="26" t="s">
        <v>154</v>
      </c>
      <c r="M60" s="27" t="s">
        <v>138</v>
      </c>
      <c r="N60" s="27"/>
      <c r="O60" s="28" t="s">
        <v>150</v>
      </c>
      <c r="P60" s="28" t="s">
        <v>151</v>
      </c>
    </row>
    <row r="61" spans="1:16" ht="12.75" customHeight="1" thickBot="1" x14ac:dyDescent="0.25">
      <c r="A61" s="17" t="str">
        <f t="shared" si="6"/>
        <v> AA 11.48 </v>
      </c>
      <c r="B61" s="5" t="str">
        <f t="shared" si="7"/>
        <v>I</v>
      </c>
      <c r="C61" s="17">
        <f t="shared" si="8"/>
        <v>25192.055</v>
      </c>
      <c r="D61" s="4" t="str">
        <f t="shared" si="9"/>
        <v>vis</v>
      </c>
      <c r="E61" s="25">
        <f>VLOOKUP(C61,Active!C$21:E$973,3,FALSE)</f>
        <v>-871.96864224484113</v>
      </c>
      <c r="F61" s="5" t="s">
        <v>67</v>
      </c>
      <c r="G61" s="4" t="str">
        <f t="shared" si="10"/>
        <v>25192.055</v>
      </c>
      <c r="H61" s="17">
        <f t="shared" si="11"/>
        <v>-872</v>
      </c>
      <c r="I61" s="26" t="s">
        <v>155</v>
      </c>
      <c r="J61" s="27" t="s">
        <v>156</v>
      </c>
      <c r="K61" s="26">
        <v>-872</v>
      </c>
      <c r="L61" s="26" t="s">
        <v>157</v>
      </c>
      <c r="M61" s="27" t="s">
        <v>138</v>
      </c>
      <c r="N61" s="27"/>
      <c r="O61" s="28" t="s">
        <v>150</v>
      </c>
      <c r="P61" s="28" t="s">
        <v>151</v>
      </c>
    </row>
    <row r="62" spans="1:16" ht="12.75" customHeight="1" thickBot="1" x14ac:dyDescent="0.25">
      <c r="A62" s="17" t="str">
        <f t="shared" si="6"/>
        <v> AA 11.48 </v>
      </c>
      <c r="B62" s="5" t="str">
        <f t="shared" si="7"/>
        <v>I</v>
      </c>
      <c r="C62" s="17">
        <f t="shared" si="8"/>
        <v>25324.07</v>
      </c>
      <c r="D62" s="4" t="str">
        <f t="shared" si="9"/>
        <v>vis</v>
      </c>
      <c r="E62" s="25">
        <f>VLOOKUP(C62,Active!C$21:E$973,3,FALSE)</f>
        <v>-861.96667541486806</v>
      </c>
      <c r="F62" s="5" t="s">
        <v>67</v>
      </c>
      <c r="G62" s="4" t="str">
        <f t="shared" si="10"/>
        <v>25324.070</v>
      </c>
      <c r="H62" s="17">
        <f t="shared" si="11"/>
        <v>-862</v>
      </c>
      <c r="I62" s="26" t="s">
        <v>158</v>
      </c>
      <c r="J62" s="27" t="s">
        <v>159</v>
      </c>
      <c r="K62" s="26">
        <v>-862</v>
      </c>
      <c r="L62" s="26" t="s">
        <v>160</v>
      </c>
      <c r="M62" s="27" t="s">
        <v>138</v>
      </c>
      <c r="N62" s="27"/>
      <c r="O62" s="28" t="s">
        <v>150</v>
      </c>
      <c r="P62" s="28" t="s">
        <v>151</v>
      </c>
    </row>
    <row r="63" spans="1:16" ht="12.75" customHeight="1" thickBot="1" x14ac:dyDescent="0.25">
      <c r="A63" s="17" t="str">
        <f t="shared" si="6"/>
        <v> AA 27.159 </v>
      </c>
      <c r="B63" s="5" t="str">
        <f t="shared" si="7"/>
        <v>I</v>
      </c>
      <c r="C63" s="17">
        <f t="shared" si="8"/>
        <v>25324.304</v>
      </c>
      <c r="D63" s="4" t="str">
        <f t="shared" si="9"/>
        <v>vis</v>
      </c>
      <c r="E63" s="25">
        <f>VLOOKUP(C63,Active!C$21:E$973,3,FALSE)</f>
        <v>-861.94894667011772</v>
      </c>
      <c r="F63" s="5" t="s">
        <v>67</v>
      </c>
      <c r="G63" s="4" t="str">
        <f t="shared" si="10"/>
        <v>25324.304</v>
      </c>
      <c r="H63" s="17">
        <f t="shared" si="11"/>
        <v>-862</v>
      </c>
      <c r="I63" s="26" t="s">
        <v>161</v>
      </c>
      <c r="J63" s="27" t="s">
        <v>162</v>
      </c>
      <c r="K63" s="26">
        <v>-862</v>
      </c>
      <c r="L63" s="26" t="s">
        <v>163</v>
      </c>
      <c r="M63" s="27" t="s">
        <v>138</v>
      </c>
      <c r="N63" s="27"/>
      <c r="O63" s="28" t="s">
        <v>164</v>
      </c>
      <c r="P63" s="28" t="s">
        <v>165</v>
      </c>
    </row>
    <row r="64" spans="1:16" ht="12.75" customHeight="1" thickBot="1" x14ac:dyDescent="0.25">
      <c r="A64" s="17" t="str">
        <f t="shared" si="6"/>
        <v> AA 11.48 </v>
      </c>
      <c r="B64" s="5" t="str">
        <f t="shared" si="7"/>
        <v>I</v>
      </c>
      <c r="C64" s="17">
        <f t="shared" si="8"/>
        <v>25469.22</v>
      </c>
      <c r="D64" s="4" t="str">
        <f t="shared" si="9"/>
        <v>vis</v>
      </c>
      <c r="E64" s="25">
        <f>VLOOKUP(C64,Active!C$21:E$973,3,FALSE)</f>
        <v>-850.96955019901668</v>
      </c>
      <c r="F64" s="5" t="s">
        <v>67</v>
      </c>
      <c r="G64" s="4" t="str">
        <f t="shared" si="10"/>
        <v>25469.220</v>
      </c>
      <c r="H64" s="17">
        <f t="shared" si="11"/>
        <v>-851</v>
      </c>
      <c r="I64" s="26" t="s">
        <v>166</v>
      </c>
      <c r="J64" s="27" t="s">
        <v>167</v>
      </c>
      <c r="K64" s="26">
        <v>-851</v>
      </c>
      <c r="L64" s="26" t="s">
        <v>168</v>
      </c>
      <c r="M64" s="27" t="s">
        <v>138</v>
      </c>
      <c r="N64" s="27"/>
      <c r="O64" s="28" t="s">
        <v>150</v>
      </c>
      <c r="P64" s="28" t="s">
        <v>151</v>
      </c>
    </row>
    <row r="65" spans="1:16" ht="12.75" customHeight="1" thickBot="1" x14ac:dyDescent="0.25">
      <c r="A65" s="17" t="str">
        <f t="shared" si="6"/>
        <v> AA 11.48 </v>
      </c>
      <c r="B65" s="5" t="str">
        <f t="shared" si="7"/>
        <v>I</v>
      </c>
      <c r="C65" s="17">
        <f t="shared" si="8"/>
        <v>25482.421999999999</v>
      </c>
      <c r="D65" s="4" t="str">
        <f t="shared" si="9"/>
        <v>vis</v>
      </c>
      <c r="E65" s="25">
        <f>VLOOKUP(C65,Active!C$21:E$973,3,FALSE)</f>
        <v>-849.96931563408634</v>
      </c>
      <c r="F65" s="5" t="s">
        <v>67</v>
      </c>
      <c r="G65" s="4" t="str">
        <f t="shared" si="10"/>
        <v>25482.422</v>
      </c>
      <c r="H65" s="17">
        <f t="shared" si="11"/>
        <v>-850</v>
      </c>
      <c r="I65" s="26" t="s">
        <v>169</v>
      </c>
      <c r="J65" s="27" t="s">
        <v>170</v>
      </c>
      <c r="K65" s="26">
        <v>-850</v>
      </c>
      <c r="L65" s="26" t="s">
        <v>171</v>
      </c>
      <c r="M65" s="27" t="s">
        <v>138</v>
      </c>
      <c r="N65" s="27"/>
      <c r="O65" s="28" t="s">
        <v>150</v>
      </c>
      <c r="P65" s="28" t="s">
        <v>151</v>
      </c>
    </row>
    <row r="66" spans="1:16" ht="12.75" customHeight="1" thickBot="1" x14ac:dyDescent="0.25">
      <c r="A66" s="17" t="str">
        <f t="shared" si="6"/>
        <v> AA 11.48 </v>
      </c>
      <c r="B66" s="5" t="str">
        <f t="shared" si="7"/>
        <v>I</v>
      </c>
      <c r="C66" s="17">
        <f t="shared" si="8"/>
        <v>25838.758000000002</v>
      </c>
      <c r="D66" s="4" t="str">
        <f t="shared" si="9"/>
        <v>vis</v>
      </c>
      <c r="E66" s="25">
        <f>VLOOKUP(C66,Active!C$21:E$973,3,FALSE)</f>
        <v>-822.9719225172031</v>
      </c>
      <c r="F66" s="5" t="s">
        <v>67</v>
      </c>
      <c r="G66" s="4" t="str">
        <f t="shared" si="10"/>
        <v>25838.758</v>
      </c>
      <c r="H66" s="17">
        <f t="shared" si="11"/>
        <v>-823</v>
      </c>
      <c r="I66" s="26" t="s">
        <v>172</v>
      </c>
      <c r="J66" s="27" t="s">
        <v>173</v>
      </c>
      <c r="K66" s="26">
        <v>-823</v>
      </c>
      <c r="L66" s="26" t="s">
        <v>174</v>
      </c>
      <c r="M66" s="27" t="s">
        <v>138</v>
      </c>
      <c r="N66" s="27"/>
      <c r="O66" s="28" t="s">
        <v>150</v>
      </c>
      <c r="P66" s="28" t="s">
        <v>151</v>
      </c>
    </row>
    <row r="67" spans="1:16" ht="12.75" customHeight="1" thickBot="1" x14ac:dyDescent="0.25">
      <c r="A67" s="17" t="str">
        <f t="shared" si="6"/>
        <v> AA 11.48 </v>
      </c>
      <c r="B67" s="5" t="str">
        <f t="shared" si="7"/>
        <v>I</v>
      </c>
      <c r="C67" s="17">
        <f t="shared" si="8"/>
        <v>25865.162</v>
      </c>
      <c r="D67" s="4" t="str">
        <f t="shared" si="9"/>
        <v>vis</v>
      </c>
      <c r="E67" s="25">
        <f>VLOOKUP(C67,Active!C$21:E$973,3,FALSE)</f>
        <v>-820.97145338734208</v>
      </c>
      <c r="F67" s="5" t="s">
        <v>67</v>
      </c>
      <c r="G67" s="4" t="str">
        <f t="shared" si="10"/>
        <v>25865.162</v>
      </c>
      <c r="H67" s="17">
        <f t="shared" si="11"/>
        <v>-821</v>
      </c>
      <c r="I67" s="26" t="s">
        <v>175</v>
      </c>
      <c r="J67" s="27" t="s">
        <v>176</v>
      </c>
      <c r="K67" s="26">
        <v>-821</v>
      </c>
      <c r="L67" s="26" t="s">
        <v>177</v>
      </c>
      <c r="M67" s="27" t="s">
        <v>138</v>
      </c>
      <c r="N67" s="27"/>
      <c r="O67" s="28" t="s">
        <v>150</v>
      </c>
      <c r="P67" s="28" t="s">
        <v>151</v>
      </c>
    </row>
    <row r="68" spans="1:16" ht="12.75" customHeight="1" thickBot="1" x14ac:dyDescent="0.25">
      <c r="A68" s="17" t="str">
        <f t="shared" si="6"/>
        <v> AA 11.48 </v>
      </c>
      <c r="B68" s="5" t="str">
        <f t="shared" si="7"/>
        <v>I</v>
      </c>
      <c r="C68" s="17">
        <f t="shared" si="8"/>
        <v>26419.527999999998</v>
      </c>
      <c r="D68" s="4" t="str">
        <f t="shared" si="9"/>
        <v>vis</v>
      </c>
      <c r="E68" s="25">
        <f>VLOOKUP(C68,Active!C$21:E$973,3,FALSE)</f>
        <v>-778.97054179650104</v>
      </c>
      <c r="F68" s="5" t="s">
        <v>67</v>
      </c>
      <c r="G68" s="4" t="str">
        <f t="shared" si="10"/>
        <v>26419.528</v>
      </c>
      <c r="H68" s="17">
        <f t="shared" si="11"/>
        <v>-779</v>
      </c>
      <c r="I68" s="26" t="s">
        <v>178</v>
      </c>
      <c r="J68" s="27" t="s">
        <v>179</v>
      </c>
      <c r="K68" s="26">
        <v>-779</v>
      </c>
      <c r="L68" s="26" t="s">
        <v>180</v>
      </c>
      <c r="M68" s="27" t="s">
        <v>138</v>
      </c>
      <c r="N68" s="27"/>
      <c r="O68" s="28" t="s">
        <v>150</v>
      </c>
      <c r="P68" s="28" t="s">
        <v>151</v>
      </c>
    </row>
    <row r="69" spans="1:16" ht="12.75" customHeight="1" thickBot="1" x14ac:dyDescent="0.25">
      <c r="A69" s="17" t="str">
        <f t="shared" si="6"/>
        <v> AA 11.48 </v>
      </c>
      <c r="B69" s="5" t="str">
        <f t="shared" si="7"/>
        <v>I</v>
      </c>
      <c r="C69" s="17">
        <f t="shared" si="8"/>
        <v>27699.748</v>
      </c>
      <c r="D69" s="4" t="str">
        <f t="shared" si="9"/>
        <v>vis</v>
      </c>
      <c r="E69" s="25">
        <f>VLOOKUP(C69,Active!C$21:E$973,3,FALSE)</f>
        <v>-681.97612468429224</v>
      </c>
      <c r="F69" s="5" t="s">
        <v>67</v>
      </c>
      <c r="G69" s="4" t="str">
        <f t="shared" si="10"/>
        <v>27699.748</v>
      </c>
      <c r="H69" s="17">
        <f t="shared" si="11"/>
        <v>-682</v>
      </c>
      <c r="I69" s="26" t="s">
        <v>181</v>
      </c>
      <c r="J69" s="27" t="s">
        <v>182</v>
      </c>
      <c r="K69" s="26">
        <v>-682</v>
      </c>
      <c r="L69" s="26" t="s">
        <v>183</v>
      </c>
      <c r="M69" s="27" t="s">
        <v>138</v>
      </c>
      <c r="N69" s="27"/>
      <c r="O69" s="28" t="s">
        <v>184</v>
      </c>
      <c r="P69" s="28" t="s">
        <v>151</v>
      </c>
    </row>
    <row r="70" spans="1:16" ht="12.75" customHeight="1" thickBot="1" x14ac:dyDescent="0.25">
      <c r="A70" s="17" t="str">
        <f t="shared" si="6"/>
        <v> AA 11.48 </v>
      </c>
      <c r="B70" s="5" t="str">
        <f t="shared" si="7"/>
        <v>I</v>
      </c>
      <c r="C70" s="17">
        <f t="shared" si="8"/>
        <v>28188.114000000001</v>
      </c>
      <c r="D70" s="4" t="str">
        <f t="shared" si="9"/>
        <v>vis</v>
      </c>
      <c r="E70" s="25">
        <f>VLOOKUP(C70,Active!C$21:E$973,3,FALSE)</f>
        <v>-644.97562827943909</v>
      </c>
      <c r="F70" s="5" t="s">
        <v>67</v>
      </c>
      <c r="G70" s="4" t="str">
        <f t="shared" si="10"/>
        <v>28188.114</v>
      </c>
      <c r="H70" s="17">
        <f t="shared" si="11"/>
        <v>-645</v>
      </c>
      <c r="I70" s="26" t="s">
        <v>185</v>
      </c>
      <c r="J70" s="27" t="s">
        <v>186</v>
      </c>
      <c r="K70" s="26">
        <v>-645</v>
      </c>
      <c r="L70" s="26" t="s">
        <v>187</v>
      </c>
      <c r="M70" s="27" t="s">
        <v>138</v>
      </c>
      <c r="N70" s="27"/>
      <c r="O70" s="28" t="s">
        <v>150</v>
      </c>
      <c r="P70" s="28" t="s">
        <v>151</v>
      </c>
    </row>
    <row r="71" spans="1:16" ht="12.75" customHeight="1" thickBot="1" x14ac:dyDescent="0.25">
      <c r="A71" s="17" t="str">
        <f t="shared" si="6"/>
        <v> AA 11.48 </v>
      </c>
      <c r="B71" s="5" t="str">
        <f t="shared" si="7"/>
        <v>I</v>
      </c>
      <c r="C71" s="17">
        <f t="shared" si="8"/>
        <v>28359.695</v>
      </c>
      <c r="D71" s="4" t="str">
        <f t="shared" si="9"/>
        <v>vis</v>
      </c>
      <c r="E71" s="25">
        <f>VLOOKUP(C71,Active!C$21:E$973,3,FALSE)</f>
        <v>-631.97598830933259</v>
      </c>
      <c r="F71" s="5" t="s">
        <v>67</v>
      </c>
      <c r="G71" s="4" t="str">
        <f t="shared" si="10"/>
        <v>28359.695</v>
      </c>
      <c r="H71" s="17">
        <f t="shared" si="11"/>
        <v>-632</v>
      </c>
      <c r="I71" s="26" t="s">
        <v>188</v>
      </c>
      <c r="J71" s="27" t="s">
        <v>189</v>
      </c>
      <c r="K71" s="26">
        <v>-632</v>
      </c>
      <c r="L71" s="26" t="s">
        <v>190</v>
      </c>
      <c r="M71" s="27" t="s">
        <v>138</v>
      </c>
      <c r="N71" s="27"/>
      <c r="O71" s="28" t="s">
        <v>150</v>
      </c>
      <c r="P71" s="28" t="s">
        <v>151</v>
      </c>
    </row>
    <row r="72" spans="1:16" ht="12.75" customHeight="1" thickBot="1" x14ac:dyDescent="0.25">
      <c r="A72" s="17" t="str">
        <f t="shared" si="6"/>
        <v> AA 11.48 </v>
      </c>
      <c r="B72" s="5" t="str">
        <f t="shared" si="7"/>
        <v>I</v>
      </c>
      <c r="C72" s="17">
        <f t="shared" si="8"/>
        <v>28755.652999999998</v>
      </c>
      <c r="D72" s="4" t="str">
        <f t="shared" si="9"/>
        <v>vis</v>
      </c>
      <c r="E72" s="25">
        <f>VLOOKUP(C72,Active!C$21:E$973,3,FALSE)</f>
        <v>-601.97667927579482</v>
      </c>
      <c r="F72" s="5" t="s">
        <v>67</v>
      </c>
      <c r="G72" s="4" t="str">
        <f t="shared" si="10"/>
        <v>28755.653</v>
      </c>
      <c r="H72" s="17">
        <f t="shared" si="11"/>
        <v>-602</v>
      </c>
      <c r="I72" s="26" t="s">
        <v>191</v>
      </c>
      <c r="J72" s="27" t="s">
        <v>192</v>
      </c>
      <c r="K72" s="26">
        <v>-602</v>
      </c>
      <c r="L72" s="26" t="s">
        <v>193</v>
      </c>
      <c r="M72" s="27" t="s">
        <v>138</v>
      </c>
      <c r="N72" s="27"/>
      <c r="O72" s="28" t="s">
        <v>150</v>
      </c>
      <c r="P72" s="28" t="s">
        <v>151</v>
      </c>
    </row>
    <row r="73" spans="1:16" ht="12.75" customHeight="1" thickBot="1" x14ac:dyDescent="0.25">
      <c r="A73" s="17" t="str">
        <f t="shared" si="6"/>
        <v> AA 11.48 </v>
      </c>
      <c r="B73" s="5" t="str">
        <f t="shared" si="7"/>
        <v>I</v>
      </c>
      <c r="C73" s="17">
        <f t="shared" si="8"/>
        <v>28834.815999999999</v>
      </c>
      <c r="D73" s="4" t="str">
        <f t="shared" si="9"/>
        <v>vis</v>
      </c>
      <c r="E73" s="25">
        <f>VLOOKUP(C73,Active!C$21:E$973,3,FALSE)</f>
        <v>-595.97898431566773</v>
      </c>
      <c r="F73" s="5" t="s">
        <v>67</v>
      </c>
      <c r="G73" s="4" t="str">
        <f t="shared" si="10"/>
        <v>28834.816</v>
      </c>
      <c r="H73" s="17">
        <f t="shared" si="11"/>
        <v>-596</v>
      </c>
      <c r="I73" s="26" t="s">
        <v>194</v>
      </c>
      <c r="J73" s="27" t="s">
        <v>195</v>
      </c>
      <c r="K73" s="26">
        <v>-596</v>
      </c>
      <c r="L73" s="26" t="s">
        <v>196</v>
      </c>
      <c r="M73" s="27" t="s">
        <v>138</v>
      </c>
      <c r="N73" s="27"/>
      <c r="O73" s="28" t="s">
        <v>150</v>
      </c>
      <c r="P73" s="28" t="s">
        <v>151</v>
      </c>
    </row>
    <row r="74" spans="1:16" ht="12.75" customHeight="1" thickBot="1" x14ac:dyDescent="0.25">
      <c r="A74" s="17" t="str">
        <f t="shared" si="6"/>
        <v> HB 917.7 </v>
      </c>
      <c r="B74" s="5" t="str">
        <f t="shared" si="7"/>
        <v>I</v>
      </c>
      <c r="C74" s="17">
        <f t="shared" si="8"/>
        <v>29217.587</v>
      </c>
      <c r="D74" s="4" t="str">
        <f t="shared" si="9"/>
        <v>vis</v>
      </c>
      <c r="E74" s="25">
        <f>VLOOKUP(C74,Active!C$21:E$973,3,FALSE)</f>
        <v>-566.97877338906346</v>
      </c>
      <c r="F74" s="5" t="s">
        <v>67</v>
      </c>
      <c r="G74" s="4" t="str">
        <f t="shared" si="10"/>
        <v>29217.587</v>
      </c>
      <c r="H74" s="17">
        <f t="shared" si="11"/>
        <v>-567</v>
      </c>
      <c r="I74" s="26" t="s">
        <v>197</v>
      </c>
      <c r="J74" s="27" t="s">
        <v>198</v>
      </c>
      <c r="K74" s="26">
        <v>-567</v>
      </c>
      <c r="L74" s="26" t="s">
        <v>199</v>
      </c>
      <c r="M74" s="27" t="s">
        <v>68</v>
      </c>
      <c r="N74" s="27"/>
      <c r="O74" s="28" t="s">
        <v>200</v>
      </c>
      <c r="P74" s="28" t="s">
        <v>201</v>
      </c>
    </row>
    <row r="75" spans="1:16" ht="12.75" customHeight="1" thickBot="1" x14ac:dyDescent="0.25">
      <c r="A75" s="17" t="str">
        <f t="shared" ref="A75:A88" si="12">P75</f>
        <v> HA 113.76 </v>
      </c>
      <c r="B75" s="5" t="str">
        <f t="shared" ref="B75:B88" si="13">IF(H75=INT(H75),"I","II")</f>
        <v>I</v>
      </c>
      <c r="C75" s="17">
        <f t="shared" ref="C75:C88" si="14">1*G75</f>
        <v>29877.823</v>
      </c>
      <c r="D75" s="4" t="str">
        <f t="shared" ref="D75:D88" si="15">VLOOKUP(F75,I$1:J$5,2,FALSE)</f>
        <v>vis</v>
      </c>
      <c r="E75" s="25">
        <f>VLOOKUP(C75,Active!C$21:E$973,3,FALSE)</f>
        <v>-516.95674125669848</v>
      </c>
      <c r="F75" s="5" t="s">
        <v>67</v>
      </c>
      <c r="G75" s="4" t="str">
        <f t="shared" ref="G75:G88" si="16">MID(I75,3,LEN(I75)-3)</f>
        <v>29877.823</v>
      </c>
      <c r="H75" s="17">
        <f t="shared" ref="H75:H88" si="17">1*K75</f>
        <v>-517</v>
      </c>
      <c r="I75" s="26" t="s">
        <v>202</v>
      </c>
      <c r="J75" s="27" t="s">
        <v>203</v>
      </c>
      <c r="K75" s="26">
        <v>-517</v>
      </c>
      <c r="L75" s="26" t="s">
        <v>204</v>
      </c>
      <c r="M75" s="27" t="s">
        <v>68</v>
      </c>
      <c r="N75" s="27"/>
      <c r="O75" s="28" t="s">
        <v>205</v>
      </c>
      <c r="P75" s="28" t="s">
        <v>206</v>
      </c>
    </row>
    <row r="76" spans="1:16" ht="12.75" customHeight="1" thickBot="1" x14ac:dyDescent="0.25">
      <c r="A76" s="17" t="str">
        <f t="shared" si="12"/>
        <v> AA 11.48 </v>
      </c>
      <c r="B76" s="5" t="str">
        <f t="shared" si="13"/>
        <v>I</v>
      </c>
      <c r="C76" s="17">
        <f t="shared" si="14"/>
        <v>30431.82</v>
      </c>
      <c r="D76" s="4" t="str">
        <f t="shared" si="15"/>
        <v>vis</v>
      </c>
      <c r="E76" s="25">
        <f>VLOOKUP(C76,Active!C$21:E$973,3,FALSE)</f>
        <v>-474.98378653257902</v>
      </c>
      <c r="F76" s="5" t="s">
        <v>67</v>
      </c>
      <c r="G76" s="4" t="str">
        <f t="shared" si="16"/>
        <v>30431.820</v>
      </c>
      <c r="H76" s="17">
        <f t="shared" si="17"/>
        <v>-475</v>
      </c>
      <c r="I76" s="26" t="s">
        <v>207</v>
      </c>
      <c r="J76" s="27" t="s">
        <v>208</v>
      </c>
      <c r="K76" s="26">
        <v>-475</v>
      </c>
      <c r="L76" s="26" t="s">
        <v>209</v>
      </c>
      <c r="M76" s="27" t="s">
        <v>138</v>
      </c>
      <c r="N76" s="27"/>
      <c r="O76" s="28" t="s">
        <v>150</v>
      </c>
      <c r="P76" s="28" t="s">
        <v>151</v>
      </c>
    </row>
    <row r="77" spans="1:16" ht="12.75" customHeight="1" thickBot="1" x14ac:dyDescent="0.25">
      <c r="A77" s="17" t="str">
        <f t="shared" si="12"/>
        <v> AA 11.48 </v>
      </c>
      <c r="B77" s="5" t="str">
        <f t="shared" si="13"/>
        <v>I</v>
      </c>
      <c r="C77" s="17">
        <f t="shared" si="14"/>
        <v>33005.546000000002</v>
      </c>
      <c r="D77" s="4" t="str">
        <f t="shared" si="15"/>
        <v>vis</v>
      </c>
      <c r="E77" s="25">
        <f>VLOOKUP(C77,Active!C$21:E$973,3,FALSE)</f>
        <v>-279.98835357844871</v>
      </c>
      <c r="F77" s="5" t="s">
        <v>67</v>
      </c>
      <c r="G77" s="4" t="str">
        <f t="shared" si="16"/>
        <v>33005.546</v>
      </c>
      <c r="H77" s="17">
        <f t="shared" si="17"/>
        <v>-280</v>
      </c>
      <c r="I77" s="26" t="s">
        <v>210</v>
      </c>
      <c r="J77" s="27" t="s">
        <v>211</v>
      </c>
      <c r="K77" s="26">
        <v>-280</v>
      </c>
      <c r="L77" s="26" t="s">
        <v>212</v>
      </c>
      <c r="M77" s="27" t="s">
        <v>138</v>
      </c>
      <c r="N77" s="27"/>
      <c r="O77" s="28" t="s">
        <v>150</v>
      </c>
      <c r="P77" s="28" t="s">
        <v>151</v>
      </c>
    </row>
    <row r="78" spans="1:16" ht="12.75" customHeight="1" thickBot="1" x14ac:dyDescent="0.25">
      <c r="A78" s="17" t="str">
        <f t="shared" si="12"/>
        <v> AA 11.48 </v>
      </c>
      <c r="B78" s="5" t="str">
        <f t="shared" si="13"/>
        <v>I</v>
      </c>
      <c r="C78" s="17">
        <f t="shared" si="14"/>
        <v>33744.637000000002</v>
      </c>
      <c r="D78" s="4" t="str">
        <f t="shared" si="15"/>
        <v>vis</v>
      </c>
      <c r="E78" s="25">
        <f>VLOOKUP(C78,Active!C$21:E$973,3,FALSE)</f>
        <v>-223.99196175682474</v>
      </c>
      <c r="F78" s="5" t="s">
        <v>67</v>
      </c>
      <c r="G78" s="4" t="str">
        <f t="shared" si="16"/>
        <v>33744.637</v>
      </c>
      <c r="H78" s="17">
        <f t="shared" si="17"/>
        <v>-224</v>
      </c>
      <c r="I78" s="26" t="s">
        <v>213</v>
      </c>
      <c r="J78" s="27" t="s">
        <v>214</v>
      </c>
      <c r="K78" s="26">
        <v>-224</v>
      </c>
      <c r="L78" s="26" t="s">
        <v>215</v>
      </c>
      <c r="M78" s="27" t="s">
        <v>138</v>
      </c>
      <c r="N78" s="27"/>
      <c r="O78" s="28" t="s">
        <v>150</v>
      </c>
      <c r="P78" s="28" t="s">
        <v>151</v>
      </c>
    </row>
    <row r="79" spans="1:16" ht="12.75" customHeight="1" thickBot="1" x14ac:dyDescent="0.25">
      <c r="A79" s="17" t="str">
        <f t="shared" si="12"/>
        <v> AJ 64.262 </v>
      </c>
      <c r="B79" s="5" t="str">
        <f t="shared" si="13"/>
        <v>I</v>
      </c>
      <c r="C79" s="17">
        <f t="shared" si="14"/>
        <v>35130.468999999997</v>
      </c>
      <c r="D79" s="4" t="str">
        <f t="shared" si="15"/>
        <v>vis</v>
      </c>
      <c r="E79" s="25">
        <f>VLOOKUP(C79,Active!C$21:E$973,3,FALSE)</f>
        <v>-118.99597118063789</v>
      </c>
      <c r="F79" s="5" t="s">
        <v>67</v>
      </c>
      <c r="G79" s="4" t="str">
        <f t="shared" si="16"/>
        <v>35130.469</v>
      </c>
      <c r="H79" s="17">
        <f t="shared" si="17"/>
        <v>-119</v>
      </c>
      <c r="I79" s="26" t="s">
        <v>216</v>
      </c>
      <c r="J79" s="27" t="s">
        <v>217</v>
      </c>
      <c r="K79" s="26">
        <v>-119</v>
      </c>
      <c r="L79" s="26" t="s">
        <v>218</v>
      </c>
      <c r="M79" s="27" t="s">
        <v>68</v>
      </c>
      <c r="N79" s="27"/>
      <c r="O79" s="28" t="s">
        <v>219</v>
      </c>
      <c r="P79" s="28" t="s">
        <v>220</v>
      </c>
    </row>
    <row r="80" spans="1:16" ht="12.75" customHeight="1" thickBot="1" x14ac:dyDescent="0.25">
      <c r="A80" s="17" t="str">
        <f t="shared" si="12"/>
        <v> AA 11.48 </v>
      </c>
      <c r="B80" s="5" t="str">
        <f t="shared" si="13"/>
        <v>I</v>
      </c>
      <c r="C80" s="17">
        <f t="shared" si="14"/>
        <v>35341.654999999999</v>
      </c>
      <c r="D80" s="4" t="str">
        <f t="shared" si="15"/>
        <v>vis</v>
      </c>
      <c r="E80" s="25">
        <f>VLOOKUP(C80,Active!C$21:E$973,3,FALSE)</f>
        <v>-102.99570327960599</v>
      </c>
      <c r="F80" s="5" t="s">
        <v>67</v>
      </c>
      <c r="G80" s="4" t="str">
        <f t="shared" si="16"/>
        <v>35341.655</v>
      </c>
      <c r="H80" s="17">
        <f t="shared" si="17"/>
        <v>-103</v>
      </c>
      <c r="I80" s="26" t="s">
        <v>221</v>
      </c>
      <c r="J80" s="27" t="s">
        <v>222</v>
      </c>
      <c r="K80" s="26">
        <v>-103</v>
      </c>
      <c r="L80" s="26" t="s">
        <v>223</v>
      </c>
      <c r="M80" s="27" t="s">
        <v>138</v>
      </c>
      <c r="N80" s="27"/>
      <c r="O80" s="28" t="s">
        <v>150</v>
      </c>
      <c r="P80" s="28" t="s">
        <v>151</v>
      </c>
    </row>
    <row r="81" spans="1:16" ht="12.75" customHeight="1" thickBot="1" x14ac:dyDescent="0.25">
      <c r="A81" s="17" t="str">
        <f t="shared" si="12"/>
        <v> AJ 64.262 </v>
      </c>
      <c r="B81" s="5" t="str">
        <f t="shared" si="13"/>
        <v>I</v>
      </c>
      <c r="C81" s="17">
        <f t="shared" si="14"/>
        <v>35420.839999999997</v>
      </c>
      <c r="D81" s="4" t="str">
        <f t="shared" si="15"/>
        <v>vis</v>
      </c>
      <c r="E81" s="25">
        <f>VLOOKUP(C81,Active!C$21:E$973,3,FALSE)</f>
        <v>-96.996341514417182</v>
      </c>
      <c r="F81" s="5" t="s">
        <v>67</v>
      </c>
      <c r="G81" s="4" t="str">
        <f t="shared" si="16"/>
        <v>35420.840</v>
      </c>
      <c r="H81" s="17">
        <f t="shared" si="17"/>
        <v>-97</v>
      </c>
      <c r="I81" s="26" t="s">
        <v>224</v>
      </c>
      <c r="J81" s="27" t="s">
        <v>225</v>
      </c>
      <c r="K81" s="26">
        <v>-97</v>
      </c>
      <c r="L81" s="26" t="s">
        <v>226</v>
      </c>
      <c r="M81" s="27" t="s">
        <v>68</v>
      </c>
      <c r="N81" s="27"/>
      <c r="O81" s="28" t="s">
        <v>219</v>
      </c>
      <c r="P81" s="28" t="s">
        <v>220</v>
      </c>
    </row>
    <row r="82" spans="1:16" ht="12.75" customHeight="1" thickBot="1" x14ac:dyDescent="0.25">
      <c r="A82" s="17" t="str">
        <f t="shared" si="12"/>
        <v> AJ 64.262 </v>
      </c>
      <c r="B82" s="5" t="str">
        <f t="shared" si="13"/>
        <v>I</v>
      </c>
      <c r="C82" s="17">
        <f t="shared" si="14"/>
        <v>35698.019999999997</v>
      </c>
      <c r="D82" s="4" t="str">
        <f t="shared" si="15"/>
        <v>vis</v>
      </c>
      <c r="E82" s="25">
        <f>VLOOKUP(C82,Active!C$21:E$973,3,FALSE)</f>
        <v>-75.996113010595934</v>
      </c>
      <c r="F82" s="5" t="s">
        <v>67</v>
      </c>
      <c r="G82" s="4" t="str">
        <f t="shared" si="16"/>
        <v>35698.020</v>
      </c>
      <c r="H82" s="17">
        <f t="shared" si="17"/>
        <v>-76</v>
      </c>
      <c r="I82" s="26" t="s">
        <v>227</v>
      </c>
      <c r="J82" s="27" t="s">
        <v>228</v>
      </c>
      <c r="K82" s="26">
        <v>-76</v>
      </c>
      <c r="L82" s="26" t="s">
        <v>229</v>
      </c>
      <c r="M82" s="27" t="s">
        <v>68</v>
      </c>
      <c r="N82" s="27"/>
      <c r="O82" s="28" t="s">
        <v>219</v>
      </c>
      <c r="P82" s="28" t="s">
        <v>220</v>
      </c>
    </row>
    <row r="83" spans="1:16" ht="12.75" customHeight="1" thickBot="1" x14ac:dyDescent="0.25">
      <c r="A83" s="17" t="str">
        <f t="shared" si="12"/>
        <v>IBVS 972 </v>
      </c>
      <c r="B83" s="5" t="str">
        <f t="shared" si="13"/>
        <v>I</v>
      </c>
      <c r="C83" s="17">
        <f t="shared" si="14"/>
        <v>40898.332999999999</v>
      </c>
      <c r="D83" s="4" t="str">
        <f t="shared" si="15"/>
        <v>vis</v>
      </c>
      <c r="E83" s="25">
        <f>VLOOKUP(C83,Active!C$21:E$973,3,FALSE)</f>
        <v>317.99970664230869</v>
      </c>
      <c r="F83" s="5" t="s">
        <v>67</v>
      </c>
      <c r="G83" s="4" t="str">
        <f t="shared" si="16"/>
        <v>40898.3330</v>
      </c>
      <c r="H83" s="17">
        <f t="shared" si="17"/>
        <v>318</v>
      </c>
      <c r="I83" s="26" t="s">
        <v>271</v>
      </c>
      <c r="J83" s="27" t="s">
        <v>272</v>
      </c>
      <c r="K83" s="26">
        <v>318</v>
      </c>
      <c r="L83" s="26" t="s">
        <v>273</v>
      </c>
      <c r="M83" s="27" t="s">
        <v>244</v>
      </c>
      <c r="N83" s="27" t="s">
        <v>245</v>
      </c>
      <c r="O83" s="28" t="s">
        <v>246</v>
      </c>
      <c r="P83" s="29" t="s">
        <v>274</v>
      </c>
    </row>
    <row r="84" spans="1:16" ht="12.75" customHeight="1" thickBot="1" x14ac:dyDescent="0.25">
      <c r="A84" s="17" t="str">
        <f t="shared" si="12"/>
        <v>BAVM 36 </v>
      </c>
      <c r="B84" s="5" t="str">
        <f t="shared" si="13"/>
        <v>I</v>
      </c>
      <c r="C84" s="17">
        <f t="shared" si="14"/>
        <v>45280.401299999998</v>
      </c>
      <c r="D84" s="4" t="str">
        <f t="shared" si="15"/>
        <v>PE</v>
      </c>
      <c r="E84" s="25">
        <f>VLOOKUP(C84,Active!C$21:E$973,3,FALSE)</f>
        <v>650.00214411742013</v>
      </c>
      <c r="F84" s="5" t="str">
        <f>LEFT(M84,1)</f>
        <v>E</v>
      </c>
      <c r="G84" s="4" t="str">
        <f t="shared" si="16"/>
        <v>45280.4013</v>
      </c>
      <c r="H84" s="17">
        <f t="shared" si="17"/>
        <v>650</v>
      </c>
      <c r="I84" s="26" t="s">
        <v>293</v>
      </c>
      <c r="J84" s="27" t="s">
        <v>294</v>
      </c>
      <c r="K84" s="26">
        <v>650</v>
      </c>
      <c r="L84" s="26" t="s">
        <v>295</v>
      </c>
      <c r="M84" s="27" t="s">
        <v>244</v>
      </c>
      <c r="N84" s="27" t="s">
        <v>33</v>
      </c>
      <c r="O84" s="28" t="s">
        <v>296</v>
      </c>
      <c r="P84" s="29" t="s">
        <v>297</v>
      </c>
    </row>
    <row r="85" spans="1:16" ht="12.75" customHeight="1" thickBot="1" x14ac:dyDescent="0.25">
      <c r="A85" s="17" t="str">
        <f t="shared" si="12"/>
        <v> AJ 103.256 </v>
      </c>
      <c r="B85" s="5" t="str">
        <f t="shared" si="13"/>
        <v>I</v>
      </c>
      <c r="C85" s="17">
        <f t="shared" si="14"/>
        <v>48170.95</v>
      </c>
      <c r="D85" s="4" t="str">
        <f t="shared" si="15"/>
        <v>PE</v>
      </c>
      <c r="E85" s="25">
        <f>VLOOKUP(C85,Active!C$21:E$973,3,FALSE)</f>
        <v>869.00128980406203</v>
      </c>
      <c r="F85" s="5" t="str">
        <f>LEFT(M85,1)</f>
        <v>E</v>
      </c>
      <c r="G85" s="4" t="str">
        <f t="shared" si="16"/>
        <v>48170.950</v>
      </c>
      <c r="H85" s="17">
        <f t="shared" si="17"/>
        <v>869</v>
      </c>
      <c r="I85" s="26" t="s">
        <v>303</v>
      </c>
      <c r="J85" s="27" t="s">
        <v>304</v>
      </c>
      <c r="K85" s="26">
        <v>869</v>
      </c>
      <c r="L85" s="26" t="s">
        <v>305</v>
      </c>
      <c r="M85" s="27" t="s">
        <v>244</v>
      </c>
      <c r="N85" s="27" t="s">
        <v>245</v>
      </c>
      <c r="O85" s="28" t="s">
        <v>306</v>
      </c>
      <c r="P85" s="28" t="s">
        <v>307</v>
      </c>
    </row>
    <row r="86" spans="1:16" ht="12.75" customHeight="1" thickBot="1" x14ac:dyDescent="0.25">
      <c r="A86" s="17" t="str">
        <f t="shared" si="12"/>
        <v>BAVM 122 </v>
      </c>
      <c r="B86" s="5" t="str">
        <f t="shared" si="13"/>
        <v>I</v>
      </c>
      <c r="C86" s="17">
        <f t="shared" si="14"/>
        <v>51140.7</v>
      </c>
      <c r="D86" s="4" t="str">
        <f t="shared" si="15"/>
        <v>vis</v>
      </c>
      <c r="E86" s="25">
        <f>VLOOKUP(C86,Active!C$21:E$973,3,FALSE)</f>
        <v>1094.0010322069161</v>
      </c>
      <c r="F86" s="5" t="str">
        <f>LEFT(M86,1)</f>
        <v>V</v>
      </c>
      <c r="G86" s="4" t="str">
        <f t="shared" si="16"/>
        <v>51140.70</v>
      </c>
      <c r="H86" s="17">
        <f t="shared" si="17"/>
        <v>1094</v>
      </c>
      <c r="I86" s="26" t="s">
        <v>308</v>
      </c>
      <c r="J86" s="27" t="s">
        <v>309</v>
      </c>
      <c r="K86" s="26">
        <v>1094</v>
      </c>
      <c r="L86" s="26" t="s">
        <v>310</v>
      </c>
      <c r="M86" s="27" t="s">
        <v>138</v>
      </c>
      <c r="N86" s="27"/>
      <c r="O86" s="28" t="s">
        <v>311</v>
      </c>
      <c r="P86" s="29" t="s">
        <v>312</v>
      </c>
    </row>
    <row r="87" spans="1:16" ht="12.75" customHeight="1" thickBot="1" x14ac:dyDescent="0.25">
      <c r="A87" s="17" t="str">
        <f t="shared" si="12"/>
        <v>VSB 48 </v>
      </c>
      <c r="B87" s="5" t="str">
        <f t="shared" si="13"/>
        <v>I</v>
      </c>
      <c r="C87" s="17">
        <f t="shared" si="14"/>
        <v>54757.212</v>
      </c>
      <c r="D87" s="4" t="str">
        <f t="shared" si="15"/>
        <v>vis</v>
      </c>
      <c r="E87" s="25">
        <f>VLOOKUP(C87,Active!C$21:E$973,3,FALSE)</f>
        <v>1368.001964405529</v>
      </c>
      <c r="F87" s="5" t="s">
        <v>67</v>
      </c>
      <c r="G87" s="4" t="str">
        <f t="shared" si="16"/>
        <v>54757.2120</v>
      </c>
      <c r="H87" s="17">
        <f t="shared" si="17"/>
        <v>1368</v>
      </c>
      <c r="I87" s="26" t="s">
        <v>332</v>
      </c>
      <c r="J87" s="27" t="s">
        <v>333</v>
      </c>
      <c r="K87" s="26" t="s">
        <v>334</v>
      </c>
      <c r="L87" s="26" t="s">
        <v>335</v>
      </c>
      <c r="M87" s="27" t="s">
        <v>320</v>
      </c>
      <c r="N87" s="27" t="s">
        <v>67</v>
      </c>
      <c r="O87" s="28" t="s">
        <v>336</v>
      </c>
      <c r="P87" s="29" t="s">
        <v>337</v>
      </c>
    </row>
    <row r="88" spans="1:16" ht="12.75" customHeight="1" thickBot="1" x14ac:dyDescent="0.25">
      <c r="A88" s="17" t="str">
        <f t="shared" si="12"/>
        <v>VSB 56 </v>
      </c>
      <c r="B88" s="5" t="str">
        <f t="shared" si="13"/>
        <v>I</v>
      </c>
      <c r="C88" s="17">
        <f t="shared" si="14"/>
        <v>56605.084699999999</v>
      </c>
      <c r="D88" s="4" t="str">
        <f t="shared" si="15"/>
        <v>vis</v>
      </c>
      <c r="E88" s="25">
        <f>VLOOKUP(C88,Active!C$21:E$973,3,FALSE)</f>
        <v>1508.0039448729981</v>
      </c>
      <c r="F88" s="5" t="s">
        <v>67</v>
      </c>
      <c r="G88" s="4" t="str">
        <f t="shared" si="16"/>
        <v>56605.0847</v>
      </c>
      <c r="H88" s="17">
        <f t="shared" si="17"/>
        <v>1508</v>
      </c>
      <c r="I88" s="26" t="s">
        <v>338</v>
      </c>
      <c r="J88" s="27" t="s">
        <v>339</v>
      </c>
      <c r="K88" s="26" t="s">
        <v>340</v>
      </c>
      <c r="L88" s="26" t="s">
        <v>341</v>
      </c>
      <c r="M88" s="27" t="s">
        <v>320</v>
      </c>
      <c r="N88" s="27" t="s">
        <v>342</v>
      </c>
      <c r="O88" s="28" t="s">
        <v>343</v>
      </c>
      <c r="P88" s="29" t="s">
        <v>344</v>
      </c>
    </row>
    <row r="89" spans="1:16" x14ac:dyDescent="0.2">
      <c r="B89" s="5"/>
      <c r="F89" s="5"/>
    </row>
    <row r="90" spans="1:16" x14ac:dyDescent="0.2">
      <c r="B90" s="5"/>
      <c r="F90" s="5"/>
    </row>
    <row r="91" spans="1:16" x14ac:dyDescent="0.2">
      <c r="B91" s="5"/>
      <c r="F91" s="5"/>
    </row>
    <row r="92" spans="1:16" x14ac:dyDescent="0.2">
      <c r="B92" s="5"/>
      <c r="F92" s="5"/>
    </row>
    <row r="93" spans="1:16" x14ac:dyDescent="0.2">
      <c r="B93" s="5"/>
      <c r="F93" s="5"/>
    </row>
    <row r="94" spans="1:16" x14ac:dyDescent="0.2">
      <c r="B94" s="5"/>
      <c r="F94" s="5"/>
    </row>
    <row r="95" spans="1:16" x14ac:dyDescent="0.2">
      <c r="B95" s="5"/>
      <c r="F95" s="5"/>
    </row>
    <row r="96" spans="1:1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</sheetData>
  <phoneticPr fontId="20" type="noConversion"/>
  <hyperlinks>
    <hyperlink ref="P11" r:id="rId1" display="http://www.konkoly.hu/cgi-bin/IBVS?1121" xr:uid="{00000000-0004-0000-0100-000000000000}"/>
    <hyperlink ref="P12" r:id="rId2" display="http://www.konkoly.hu/cgi-bin/IBVS?1121" xr:uid="{00000000-0004-0000-0100-000001000000}"/>
    <hyperlink ref="P13" r:id="rId3" display="http://www.konkoly.hu/cgi-bin/IBVS?1121" xr:uid="{00000000-0004-0000-0100-000002000000}"/>
    <hyperlink ref="P14" r:id="rId4" display="http://www.konkoly.hu/cgi-bin/IBVS?910" xr:uid="{00000000-0004-0000-0100-000003000000}"/>
    <hyperlink ref="P15" r:id="rId5" display="http://www.konkoly.hu/cgi-bin/IBVS?1121" xr:uid="{00000000-0004-0000-0100-000004000000}"/>
    <hyperlink ref="P16" r:id="rId6" display="http://www.konkoly.hu/cgi-bin/IBVS?910" xr:uid="{00000000-0004-0000-0100-000005000000}"/>
    <hyperlink ref="P17" r:id="rId7" display="http://www.konkoly.hu/cgi-bin/IBVS?1121" xr:uid="{00000000-0004-0000-0100-000006000000}"/>
    <hyperlink ref="P18" r:id="rId8" display="http://www.konkoly.hu/cgi-bin/IBVS?1121" xr:uid="{00000000-0004-0000-0100-000007000000}"/>
    <hyperlink ref="P19" r:id="rId9" display="http://www.konkoly.hu/cgi-bin/IBVS?1121" xr:uid="{00000000-0004-0000-0100-000008000000}"/>
    <hyperlink ref="P20" r:id="rId10" display="http://www.konkoly.hu/cgi-bin/IBVS?910" xr:uid="{00000000-0004-0000-0100-000009000000}"/>
    <hyperlink ref="P21" r:id="rId11" display="http://www.konkoly.hu/cgi-bin/IBVS?1121" xr:uid="{00000000-0004-0000-0100-00000A000000}"/>
    <hyperlink ref="P22" r:id="rId12" display="http://www.konkoly.hu/cgi-bin/IBVS?1121" xr:uid="{00000000-0004-0000-0100-00000B000000}"/>
    <hyperlink ref="P83" r:id="rId13" display="http://www.konkoly.hu/cgi-bin/IBVS?972" xr:uid="{00000000-0004-0000-0100-00000C000000}"/>
    <hyperlink ref="P23" r:id="rId14" display="http://www.konkoly.hu/cgi-bin/IBVS?1121" xr:uid="{00000000-0004-0000-0100-00000D000000}"/>
    <hyperlink ref="P24" r:id="rId15" display="http://www.konkoly.hu/cgi-bin/IBVS?1121" xr:uid="{00000000-0004-0000-0100-00000E000000}"/>
    <hyperlink ref="P25" r:id="rId16" display="http://www.konkoly.hu/cgi-bin/IBVS?1121" xr:uid="{00000000-0004-0000-0100-00000F000000}"/>
    <hyperlink ref="P26" r:id="rId17" display="http://www.konkoly.hu/cgi-bin/IBVS?1121" xr:uid="{00000000-0004-0000-0100-000010000000}"/>
    <hyperlink ref="P84" r:id="rId18" display="http://www.bav-astro.de/sfs/BAVM_link.php?BAVMnr=36" xr:uid="{00000000-0004-0000-0100-000011000000}"/>
    <hyperlink ref="P29" r:id="rId19" display="http://www.konkoly.hu/cgi-bin/IBVS?3355" xr:uid="{00000000-0004-0000-0100-000012000000}"/>
    <hyperlink ref="P86" r:id="rId20" display="http://www.bav-astro.de/sfs/BAVM_link.php?BAVMnr=122" xr:uid="{00000000-0004-0000-0100-000013000000}"/>
    <hyperlink ref="P30" r:id="rId21" display="http://www.bav-astro.de/sfs/BAVM_link.php?BAVMnr=174" xr:uid="{00000000-0004-0000-0100-000014000000}"/>
    <hyperlink ref="P31" r:id="rId22" display="http://www.konkoly.hu/cgi-bin/IBVS?6007" xr:uid="{00000000-0004-0000-0100-000015000000}"/>
    <hyperlink ref="P32" r:id="rId23" display="http://www.konkoly.hu/cgi-bin/IBVS?6007" xr:uid="{00000000-0004-0000-0100-000016000000}"/>
    <hyperlink ref="P33" r:id="rId24" display="http://www.bav-astro.de/sfs/BAVM_link.php?BAVMnr=201" xr:uid="{00000000-0004-0000-0100-000017000000}"/>
    <hyperlink ref="P87" r:id="rId25" display="http://vsolj.cetus-net.org/no48.pdf" xr:uid="{00000000-0004-0000-0100-000018000000}"/>
    <hyperlink ref="P88" r:id="rId26" display="http://vsolj.cetus-net.org/vsoljno56.pdf" xr:uid="{00000000-0004-0000-0100-000019000000}"/>
    <hyperlink ref="P34" r:id="rId27" display="http://var.astro.cz/oejv/issues/oejv0172.pdf" xr:uid="{00000000-0004-0000-0100-00001A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2002-07-31T20:30:39Z</dcterms:created>
  <dcterms:modified xsi:type="dcterms:W3CDTF">2024-03-03T05:24:09Z</dcterms:modified>
</cp:coreProperties>
</file>