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EF54426-3F75-48A7-B3BD-A9686479D2F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21" i="1" l="1"/>
  <c r="Q28" i="1"/>
  <c r="Q27" i="1"/>
  <c r="G19" i="2"/>
  <c r="C19" i="2"/>
  <c r="E19" i="2"/>
  <c r="G14" i="2"/>
  <c r="C14" i="2"/>
  <c r="G18" i="2"/>
  <c r="C18" i="2"/>
  <c r="E18" i="2"/>
  <c r="G17" i="2"/>
  <c r="C17" i="2"/>
  <c r="E17" i="2"/>
  <c r="G16" i="2"/>
  <c r="C16" i="2"/>
  <c r="G15" i="2"/>
  <c r="C15" i="2"/>
  <c r="G13" i="2"/>
  <c r="C13" i="2"/>
  <c r="G12" i="2"/>
  <c r="C12" i="2"/>
  <c r="G11" i="2"/>
  <c r="C11" i="2"/>
  <c r="H19" i="2"/>
  <c r="D19" i="2"/>
  <c r="B19" i="2"/>
  <c r="A19" i="2"/>
  <c r="H14" i="2"/>
  <c r="D14" i="2"/>
  <c r="B14" i="2"/>
  <c r="A14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3" i="2"/>
  <c r="D13" i="2"/>
  <c r="B13" i="2"/>
  <c r="A13" i="2"/>
  <c r="H12" i="2"/>
  <c r="D12" i="2"/>
  <c r="B12" i="2"/>
  <c r="A12" i="2"/>
  <c r="H11" i="2"/>
  <c r="D11" i="2"/>
  <c r="B11" i="2"/>
  <c r="A11" i="2"/>
  <c r="F11" i="1"/>
  <c r="Q29" i="1"/>
  <c r="Q30" i="1"/>
  <c r="Q31" i="1"/>
  <c r="Q32" i="1"/>
  <c r="G11" i="1"/>
  <c r="E14" i="1"/>
  <c r="E15" i="1" s="1"/>
  <c r="C17" i="1"/>
  <c r="C7" i="1"/>
  <c r="E27" i="1"/>
  <c r="F27" i="1"/>
  <c r="Q22" i="1"/>
  <c r="Q23" i="1"/>
  <c r="Q24" i="1"/>
  <c r="Q25" i="1"/>
  <c r="Q26" i="1"/>
  <c r="Q21" i="1"/>
  <c r="E15" i="2"/>
  <c r="E16" i="2"/>
  <c r="E11" i="2"/>
  <c r="E31" i="1"/>
  <c r="F31" i="1"/>
  <c r="G23" i="1"/>
  <c r="I23" i="1"/>
  <c r="E21" i="1"/>
  <c r="F21" i="1"/>
  <c r="G21" i="1"/>
  <c r="G30" i="1"/>
  <c r="J30" i="1"/>
  <c r="E26" i="1"/>
  <c r="F26" i="1"/>
  <c r="E23" i="1"/>
  <c r="F23" i="1"/>
  <c r="G28" i="1"/>
  <c r="I28" i="1"/>
  <c r="E30" i="1"/>
  <c r="F30" i="1"/>
  <c r="G22" i="1"/>
  <c r="I22" i="1"/>
  <c r="E25" i="1"/>
  <c r="F25" i="1"/>
  <c r="G25" i="1"/>
  <c r="J25" i="1"/>
  <c r="E28" i="1"/>
  <c r="F28" i="1"/>
  <c r="E32" i="1"/>
  <c r="F32" i="1"/>
  <c r="G32" i="1"/>
  <c r="J32" i="1"/>
  <c r="G24" i="1"/>
  <c r="J24" i="1"/>
  <c r="E22" i="1"/>
  <c r="F22" i="1"/>
  <c r="G27" i="1"/>
  <c r="I27" i="1"/>
  <c r="G31" i="1"/>
  <c r="J31" i="1"/>
  <c r="E29" i="1"/>
  <c r="F29" i="1"/>
  <c r="G29" i="1"/>
  <c r="J29" i="1"/>
  <c r="G26" i="1"/>
  <c r="J26" i="1"/>
  <c r="E24" i="1"/>
  <c r="F24" i="1"/>
  <c r="H21" i="1"/>
  <c r="E13" i="2"/>
  <c r="E14" i="2"/>
  <c r="E12" i="2"/>
  <c r="C12" i="1"/>
  <c r="C16" i="1" l="1"/>
  <c r="D18" i="1" s="1"/>
  <c r="C11" i="1"/>
  <c r="O28" i="1" l="1"/>
  <c r="O22" i="1"/>
  <c r="O23" i="1"/>
  <c r="O30" i="1"/>
  <c r="O29" i="1"/>
  <c r="O27" i="1"/>
  <c r="O32" i="1"/>
  <c r="O25" i="1"/>
  <c r="C15" i="1"/>
  <c r="O31" i="1"/>
  <c r="O24" i="1"/>
  <c r="O21" i="1"/>
  <c r="O26" i="1"/>
  <c r="C18" i="1" l="1"/>
  <c r="E16" i="1"/>
  <c r="E17" i="1" s="1"/>
</calcChain>
</file>

<file path=xl/sharedStrings.xml><?xml version="1.0" encoding="utf-8"?>
<sst xmlns="http://schemas.openxmlformats.org/spreadsheetml/2006/main" count="153" uniqueCount="101">
  <si>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</si>
  <si>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</si>
  <si>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</si>
  <si>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</si>
  <si>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</si>
  <si>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</si>
  <si>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</si>
  <si>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</si>
  <si>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</si>
  <si>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</si>
  <si>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</si>
  <si>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</si>
  <si>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</si>
  <si>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</si>
  <si>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</si>
  <si>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</si>
  <si>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</si>
  <si>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</si>
  <si>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</si>
  <si>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</si>
  <si>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</si>
  <si>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</si>
  <si>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</si>
  <si>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</si>
  <si>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</si>
  <si>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</si>
  <si>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</si>
  <si>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</si>
  <si>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EW/KW:</t>
  </si>
  <si>
    <t>Correct coords 02 44 01 +36 17 29</t>
  </si>
  <si>
    <t>Pri/Sec ID photometrically determined - difference is only about 0.03 magnitude.</t>
  </si>
  <si>
    <t>ROTSE</t>
  </si>
  <si>
    <t>II</t>
  </si>
  <si>
    <t>I</t>
  </si>
  <si>
    <t>BBSAG 127</t>
  </si>
  <si>
    <t>IBVS 5690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</si>
  <si>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</si>
  <si>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</si>
  <si>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</si>
  <si>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</si>
  <si>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</si>
  <si>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</si>
  <si>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Add cycle</t>
  </si>
  <si>
    <t>Old Cycle</t>
  </si>
  <si>
    <t>Start of linear fit &gt;&gt;&gt;&gt;&gt;&gt;&gt;&gt;&gt;&gt;&gt;&gt;&gt;&gt;&gt;&gt;&gt;&gt;&gt;&gt;&gt;</t>
  </si>
  <si>
    <t>OEJV 0137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</si>
  <si>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</si>
  <si>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</si>
  <si>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</si>
  <si>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</si>
  <si>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</si>
  <si>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</si>
  <si>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</si>
  <si>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</si>
  <si>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</si>
  <si>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</si>
  <si>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</si>
  <si>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2452253.288 </t>
  </si>
  <si>
    <t> 09.12.2001 18:54 </t>
  </si>
  <si>
    <t> -0.017 </t>
  </si>
  <si>
    <t>E </t>
  </si>
  <si>
    <t>?</t>
  </si>
  <si>
    <t> E.Blättler </t>
  </si>
  <si>
    <t> BBS 127 </t>
  </si>
  <si>
    <t>2453260.9584 </t>
  </si>
  <si>
    <t> 12.09.2004 11:00 </t>
  </si>
  <si>
    <t> -0.0537 </t>
  </si>
  <si>
    <t> T. Krajci </t>
  </si>
  <si>
    <t>IBVS 5690 </t>
  </si>
  <si>
    <t>2453302.8795 </t>
  </si>
  <si>
    <t> 24.10.2004 09:06 </t>
  </si>
  <si>
    <t> -0.0567 </t>
  </si>
  <si>
    <t>2453988.9165 </t>
  </si>
  <si>
    <t> 10.09.2006 09:59 </t>
  </si>
  <si>
    <t> -0.0823 </t>
  </si>
  <si>
    <t>C </t>
  </si>
  <si>
    <t>o</t>
  </si>
  <si>
    <t> T.Krajci </t>
  </si>
  <si>
    <t>IBVS 5806 </t>
  </si>
  <si>
    <t>2454109.5937 </t>
  </si>
  <si>
    <t> 09.01.2007 02:14 </t>
  </si>
  <si>
    <t> -0.0856 </t>
  </si>
  <si>
    <t>2455059.5584 </t>
  </si>
  <si>
    <t> 16.08.2009 01:24 </t>
  </si>
  <si>
    <t> -0.1190 </t>
  </si>
  <si>
    <t> J.Trnka </t>
  </si>
  <si>
    <t>OEJV 0137 </t>
  </si>
  <si>
    <t>2455075.5125 </t>
  </si>
  <si>
    <t> 01.09.2009 00:18 </t>
  </si>
  <si>
    <t> -0.1199 </t>
  </si>
  <si>
    <t>2455096.3905 </t>
  </si>
  <si>
    <t> 21.09.2009 21:22 </t>
  </si>
  <si>
    <t> -0.1191 </t>
  </si>
  <si>
    <t> V.Pribík </t>
  </si>
  <si>
    <t>2455101.4825 </t>
  </si>
  <si>
    <t> 26.09.2009 23:34 </t>
  </si>
  <si>
    <t> L.Brát </t>
  </si>
  <si>
    <t>V0364 Per / GSC 02337-00333</t>
  </si>
  <si>
    <t>vis?</t>
  </si>
  <si>
    <t>S4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</si>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</sst>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/>
    <xf numFmtId="0" fontId="8" fillId="0" borderId="0" xfId="0" applyFont="1" applyAlignment="1"/>
    <xf numFmtId="172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9" fillId="0" borderId="0" xfId="0" applyFont="1" applyAlignment="1"/>
    <xf numFmtId="173" fontId="0" fillId="0" borderId="0" xfId="0" applyNumberFormat="1" applyAlignment="1"/>
    <xf numFmtId="0" fontId="0" fillId="0" borderId="0" xfId="0" applyAlignment="1">
      <alignment vertical="center"/>
    </xf>
    <xf numFmtId="17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3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V0364 Per - O-C Diagr.</a:t>
            </a:r>
          </a:p>
        </c:rich>
      </c:tx>
      <c:layout>
        <c:manualLayout>
          <c:xMode val="edge"/>
          <c:yMode val="edge"/>
          <c:x val="0.3683363650626062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36313</c:v>
                </c:pt>
                <c:pt idx="2">
                  <c:v>36313.5</c:v>
                </c:pt>
                <c:pt idx="3">
                  <c:v>38965</c:v>
                </c:pt>
                <c:pt idx="4">
                  <c:v>41933.5</c:v>
                </c:pt>
                <c:pt idx="5">
                  <c:v>42057</c:v>
                </c:pt>
                <c:pt idx="6">
                  <c:v>44078</c:v>
                </c:pt>
                <c:pt idx="7">
                  <c:v>44433.5</c:v>
                </c:pt>
                <c:pt idx="8">
                  <c:v>47232</c:v>
                </c:pt>
                <c:pt idx="9">
                  <c:v>47279</c:v>
                </c:pt>
                <c:pt idx="10">
                  <c:v>47340.5</c:v>
                </c:pt>
                <c:pt idx="11">
                  <c:v>47355.5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8-4A36-9A99-F29920C78F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5.0000000000000001E-3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0.02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5.0000000000000001E-3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0.02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36313</c:v>
                </c:pt>
                <c:pt idx="2">
                  <c:v>36313.5</c:v>
                </c:pt>
                <c:pt idx="3">
                  <c:v>38965</c:v>
                </c:pt>
                <c:pt idx="4">
                  <c:v>41933.5</c:v>
                </c:pt>
                <c:pt idx="5">
                  <c:v>42057</c:v>
                </c:pt>
                <c:pt idx="6">
                  <c:v>44078</c:v>
                </c:pt>
                <c:pt idx="7">
                  <c:v>44433.5</c:v>
                </c:pt>
                <c:pt idx="8">
                  <c:v>47232</c:v>
                </c:pt>
                <c:pt idx="9">
                  <c:v>47279</c:v>
                </c:pt>
                <c:pt idx="10">
                  <c:v>47340.5</c:v>
                </c:pt>
                <c:pt idx="11">
                  <c:v>47355.5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1.9531663005182054E-2</c:v>
                </c:pt>
                <c:pt idx="2">
                  <c:v>1.5205138501187321E-2</c:v>
                </c:pt>
                <c:pt idx="6">
                  <c:v>1.9006178001291119E-2</c:v>
                </c:pt>
                <c:pt idx="7">
                  <c:v>2.0647258497774601E-2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68-4A36-9A99-F29920C78F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5.0000000000000001E-3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0.02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5.0000000000000001E-3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0.02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36313</c:v>
                </c:pt>
                <c:pt idx="2">
                  <c:v>36313.5</c:v>
                </c:pt>
                <c:pt idx="3">
                  <c:v>38965</c:v>
                </c:pt>
                <c:pt idx="4">
                  <c:v>41933.5</c:v>
                </c:pt>
                <c:pt idx="5">
                  <c:v>42057</c:v>
                </c:pt>
                <c:pt idx="6">
                  <c:v>44078</c:v>
                </c:pt>
                <c:pt idx="7">
                  <c:v>44433.5</c:v>
                </c:pt>
                <c:pt idx="8">
                  <c:v>47232</c:v>
                </c:pt>
                <c:pt idx="9">
                  <c:v>47279</c:v>
                </c:pt>
                <c:pt idx="10">
                  <c:v>47340.5</c:v>
                </c:pt>
                <c:pt idx="11">
                  <c:v>47355.5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1.394571500713937E-2</c:v>
                </c:pt>
                <c:pt idx="4">
                  <c:v>1.7969758504477795E-2</c:v>
                </c:pt>
                <c:pt idx="5">
                  <c:v>1.6618207002466079E-2</c:v>
                </c:pt>
                <c:pt idx="8">
                  <c:v>2.604963200428756E-2</c:v>
                </c:pt>
                <c:pt idx="9">
                  <c:v>2.5846329001069535E-2</c:v>
                </c:pt>
                <c:pt idx="10">
                  <c:v>2.7433815506810788E-2</c:v>
                </c:pt>
                <c:pt idx="11">
                  <c:v>2.7698080499249045E-2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68-4A36-9A99-F29920C78F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5.0000000000000001E-3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0.02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5.0000000000000001E-3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0.02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36313</c:v>
                </c:pt>
                <c:pt idx="2">
                  <c:v>36313.5</c:v>
                </c:pt>
                <c:pt idx="3">
                  <c:v>38965</c:v>
                </c:pt>
                <c:pt idx="4">
                  <c:v>41933.5</c:v>
                </c:pt>
                <c:pt idx="5">
                  <c:v>42057</c:v>
                </c:pt>
                <c:pt idx="6">
                  <c:v>44078</c:v>
                </c:pt>
                <c:pt idx="7">
                  <c:v>44433.5</c:v>
                </c:pt>
                <c:pt idx="8">
                  <c:v>47232</c:v>
                </c:pt>
                <c:pt idx="9">
                  <c:v>47279</c:v>
                </c:pt>
                <c:pt idx="10">
                  <c:v>47340.5</c:v>
                </c:pt>
                <c:pt idx="11">
                  <c:v>47355.5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68-4A36-9A99-F29920C78F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5.0000000000000001E-3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0.02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5.0000000000000001E-3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0.02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36313</c:v>
                </c:pt>
                <c:pt idx="2">
                  <c:v>36313.5</c:v>
                </c:pt>
                <c:pt idx="3">
                  <c:v>38965</c:v>
                </c:pt>
                <c:pt idx="4">
                  <c:v>41933.5</c:v>
                </c:pt>
                <c:pt idx="5">
                  <c:v>42057</c:v>
                </c:pt>
                <c:pt idx="6">
                  <c:v>44078</c:v>
                </c:pt>
                <c:pt idx="7">
                  <c:v>44433.5</c:v>
                </c:pt>
                <c:pt idx="8">
                  <c:v>47232</c:v>
                </c:pt>
                <c:pt idx="9">
                  <c:v>47279</c:v>
                </c:pt>
                <c:pt idx="10">
                  <c:v>47340.5</c:v>
                </c:pt>
                <c:pt idx="11">
                  <c:v>47355.5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68-4A36-9A99-F29920C78F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5.0000000000000001E-3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0.02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5.0000000000000001E-3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0.02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36313</c:v>
                </c:pt>
                <c:pt idx="2">
                  <c:v>36313.5</c:v>
                </c:pt>
                <c:pt idx="3">
                  <c:v>38965</c:v>
                </c:pt>
                <c:pt idx="4">
                  <c:v>41933.5</c:v>
                </c:pt>
                <c:pt idx="5">
                  <c:v>42057</c:v>
                </c:pt>
                <c:pt idx="6">
                  <c:v>44078</c:v>
                </c:pt>
                <c:pt idx="7">
                  <c:v>44433.5</c:v>
                </c:pt>
                <c:pt idx="8">
                  <c:v>47232</c:v>
                </c:pt>
                <c:pt idx="9">
                  <c:v>47279</c:v>
                </c:pt>
                <c:pt idx="10">
                  <c:v>47340.5</c:v>
                </c:pt>
                <c:pt idx="11">
                  <c:v>47355.5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68-4A36-9A99-F29920C78F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5.0000000000000001E-3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0.02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5.0000000000000001E-3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0.02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36313</c:v>
                </c:pt>
                <c:pt idx="2">
                  <c:v>36313.5</c:v>
                </c:pt>
                <c:pt idx="3">
                  <c:v>38965</c:v>
                </c:pt>
                <c:pt idx="4">
                  <c:v>41933.5</c:v>
                </c:pt>
                <c:pt idx="5">
                  <c:v>42057</c:v>
                </c:pt>
                <c:pt idx="6">
                  <c:v>44078</c:v>
                </c:pt>
                <c:pt idx="7">
                  <c:v>44433.5</c:v>
                </c:pt>
                <c:pt idx="8">
                  <c:v>47232</c:v>
                </c:pt>
                <c:pt idx="9">
                  <c:v>47279</c:v>
                </c:pt>
                <c:pt idx="10">
                  <c:v>47340.5</c:v>
                </c:pt>
                <c:pt idx="11">
                  <c:v>47355.5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68-4A36-9A99-F29920C78F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36313</c:v>
                </c:pt>
                <c:pt idx="2">
                  <c:v>36313.5</c:v>
                </c:pt>
                <c:pt idx="3">
                  <c:v>38965</c:v>
                </c:pt>
                <c:pt idx="4">
                  <c:v>41933.5</c:v>
                </c:pt>
                <c:pt idx="5">
                  <c:v>42057</c:v>
                </c:pt>
                <c:pt idx="6">
                  <c:v>44078</c:v>
                </c:pt>
                <c:pt idx="7">
                  <c:v>44433.5</c:v>
                </c:pt>
                <c:pt idx="8">
                  <c:v>47232</c:v>
                </c:pt>
                <c:pt idx="9">
                  <c:v>47279</c:v>
                </c:pt>
                <c:pt idx="10">
                  <c:v>47340.5</c:v>
                </c:pt>
                <c:pt idx="11">
                  <c:v>47355.5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-1.9093042557910972E-3</c:v>
                </c:pt>
                <c:pt idx="1">
                  <c:v>1.7491118118876492E-2</c:v>
                </c:pt>
                <c:pt idx="2">
                  <c:v>1.749138524665958E-2</c:v>
                </c:pt>
                <c:pt idx="3">
                  <c:v>1.8907963880383898E-2</c:v>
                </c:pt>
                <c:pt idx="4">
                  <c:v>2.0493901528587041E-2</c:v>
                </c:pt>
                <c:pt idx="5">
                  <c:v>2.055988209101018E-2</c:v>
                </c:pt>
                <c:pt idx="6">
                  <c:v>2.163961259025847E-2</c:v>
                </c:pt>
                <c:pt idx="7">
                  <c:v>2.1829540444035199E-2</c:v>
                </c:pt>
                <c:pt idx="8">
                  <c:v>2.3324654645987868E-2</c:v>
                </c:pt>
                <c:pt idx="9">
                  <c:v>2.334976465759829E-2</c:v>
                </c:pt>
                <c:pt idx="10">
                  <c:v>2.3382621374918314E-2</c:v>
                </c:pt>
                <c:pt idx="11">
                  <c:v>2.3390635208411004E-2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68-4A36-9A99-F29920C78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563824"/>
        <c:axId val="1"/>
      </c:scatterChart>
      <c:valAx>
        <c:axId val="884563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563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1147816942914"/>
          <c:y val="0.9204921861831491"/>
          <c:w val="0.8239102099313514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38100</xdr:rowOff>
    </xdr:from>
    <xdr:to>
      <xdr:col>16</xdr:col>
      <xdr:colOff>571500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4B1C1F-2B7F-DCBD-8ADA-F4D1389C0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5806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5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8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3" t="s">
        <v>97</v>
      </c>
      <c r="C1" s="7"/>
      <c r="D1" s="7"/>
    </row>
    <row r="2" spans="1:7" x14ac:dyDescent="0.2">
      <c r="A2" t="s">
        <v>24</v>
      </c>
      <c r="B2" t="s">
        <v>28</v>
      </c>
      <c r="C2" s="8"/>
    </row>
    <row r="3" spans="1:7" ht="13.5" thickBot="1" x14ac:dyDescent="0.25">
      <c r="B3" s="8" t="s">
        <v>29</v>
      </c>
      <c r="C3" s="9"/>
    </row>
    <row r="4" spans="1:7" ht="14.25" thickTop="1" thickBot="1" x14ac:dyDescent="0.25">
      <c r="A4" s="4" t="s">
        <v>0</v>
      </c>
      <c r="B4" s="4"/>
      <c r="C4" s="10">
        <v>39026.485999999997</v>
      </c>
      <c r="D4" s="11">
        <v>0.33946690000000002</v>
      </c>
    </row>
    <row r="5" spans="1:7" x14ac:dyDescent="0.2">
      <c r="C5" s="12" t="s">
        <v>30</v>
      </c>
    </row>
    <row r="6" spans="1:7" x14ac:dyDescent="0.2">
      <c r="A6" s="4" t="s">
        <v>1</v>
      </c>
      <c r="B6" s="4"/>
    </row>
    <row r="7" spans="1:7" x14ac:dyDescent="0.2">
      <c r="A7" t="s">
        <v>2</v>
      </c>
      <c r="C7" s="9">
        <f>+C4</f>
        <v>39026.485999999997</v>
      </c>
    </row>
    <row r="8" spans="1:7" x14ac:dyDescent="0.2">
      <c r="A8" t="s">
        <v>3</v>
      </c>
      <c r="C8" s="13">
        <v>0.33945304900000001</v>
      </c>
    </row>
    <row r="9" spans="1:7" x14ac:dyDescent="0.2">
      <c r="A9" s="17" t="s">
        <v>36</v>
      </c>
      <c r="B9" s="18"/>
      <c r="C9" s="19">
        <v>-9.5</v>
      </c>
      <c r="D9" s="18" t="s">
        <v>37</v>
      </c>
      <c r="E9" s="18"/>
    </row>
    <row r="10" spans="1:7" ht="13.5" thickBot="1" x14ac:dyDescent="0.25">
      <c r="A10" s="18"/>
      <c r="B10" s="18"/>
      <c r="C10" s="3" t="s">
        <v>20</v>
      </c>
      <c r="D10" s="3" t="s">
        <v>21</v>
      </c>
      <c r="E10" s="18"/>
    </row>
    <row r="11" spans="1:7" x14ac:dyDescent="0.2">
      <c r="A11" s="18" t="s">
        <v>16</v>
      </c>
      <c r="B11" s="18"/>
      <c r="C11" s="30">
        <f ca="1">INTERCEPT(INDIRECT($G$11):G992,INDIRECT($F$11):F992)</f>
        <v>-1.9093042557910972E-3</v>
      </c>
      <c r="D11" s="2"/>
      <c r="E11" s="18"/>
      <c r="F11" s="31" t="str">
        <f>"F"&amp;E19</f>
        <v>F21</v>
      </c>
      <c r="G11" s="32" t="str">
        <f>"G"&amp;E19</f>
        <v>G21</v>
      </c>
    </row>
    <row r="12" spans="1:7" x14ac:dyDescent="0.2">
      <c r="A12" s="18" t="s">
        <v>17</v>
      </c>
      <c r="B12" s="18"/>
      <c r="C12" s="30">
        <f ca="1">SLOPE(INDIRECT($G$11):G992,INDIRECT($F$11):F992)</f>
        <v>5.3425556617926328E-7</v>
      </c>
      <c r="D12" s="2"/>
      <c r="E12" s="18"/>
    </row>
    <row r="13" spans="1:7" x14ac:dyDescent="0.2">
      <c r="A13" s="18" t="s">
        <v>19</v>
      </c>
      <c r="B13" s="18"/>
      <c r="C13" s="2" t="s">
        <v>14</v>
      </c>
      <c r="D13" s="22" t="s">
        <v>42</v>
      </c>
      <c r="E13" s="19">
        <v>1</v>
      </c>
    </row>
    <row r="14" spans="1:7" x14ac:dyDescent="0.2">
      <c r="A14" s="18"/>
      <c r="B14" s="18"/>
      <c r="C14" s="18"/>
      <c r="D14" s="22" t="s">
        <v>38</v>
      </c>
      <c r="E14" s="23">
        <f ca="1">NOW()+15018.5+$C$9/24</f>
        <v>60372.790741898149</v>
      </c>
    </row>
    <row r="15" spans="1:7" x14ac:dyDescent="0.2">
      <c r="A15" s="20" t="s">
        <v>18</v>
      </c>
      <c r="B15" s="18"/>
      <c r="C15" s="21">
        <f ca="1">(C7+C11)+(C8+C12)*INT(MAX(F21:F3533))</f>
        <v>55101.308525763074</v>
      </c>
      <c r="D15" s="22" t="s">
        <v>43</v>
      </c>
      <c r="E15" s="23">
        <f ca="1">ROUND(2*(E14-$C$7)/$C$8,0)/2+E13</f>
        <v>62885.5</v>
      </c>
    </row>
    <row r="16" spans="1:7" x14ac:dyDescent="0.2">
      <c r="A16" s="24" t="s">
        <v>4</v>
      </c>
      <c r="B16" s="18"/>
      <c r="C16" s="25">
        <f ca="1">+C8+C12</f>
        <v>0.33945358325556618</v>
      </c>
      <c r="D16" s="22" t="s">
        <v>39</v>
      </c>
      <c r="E16" s="32">
        <f ca="1">ROUND(2*(E14-$C$15)/$C$16,0)/2+E13</f>
        <v>15530.5</v>
      </c>
    </row>
    <row r="17" spans="1:17" ht="13.5" thickBot="1" x14ac:dyDescent="0.25">
      <c r="A17" s="22" t="s">
        <v>27</v>
      </c>
      <c r="B17" s="18"/>
      <c r="C17" s="18">
        <f>COUNT(C21:C2191)</f>
        <v>12</v>
      </c>
      <c r="D17" s="22" t="s">
        <v>40</v>
      </c>
      <c r="E17" s="26">
        <f ca="1">+$C$15+$C$16*E16-15018.5-$C$9/24</f>
        <v>45355.088233846982</v>
      </c>
    </row>
    <row r="18" spans="1:17" ht="14.25" thickTop="1" thickBot="1" x14ac:dyDescent="0.25">
      <c r="A18" s="24" t="s">
        <v>5</v>
      </c>
      <c r="B18" s="18"/>
      <c r="C18" s="27">
        <f ca="1">+C15</f>
        <v>55101.308525763074</v>
      </c>
      <c r="D18" s="28">
        <f ca="1">+C16</f>
        <v>0.33945358325556618</v>
      </c>
      <c r="E18" s="29" t="s">
        <v>41</v>
      </c>
    </row>
    <row r="19" spans="1:17" ht="13.5" thickTop="1" x14ac:dyDescent="0.2">
      <c r="A19" s="33" t="s">
        <v>44</v>
      </c>
      <c r="E19" s="34">
        <v>21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98</v>
      </c>
      <c r="J20" s="6" t="s">
        <v>48</v>
      </c>
      <c r="K20" s="6" t="s">
        <v>99</v>
      </c>
      <c r="L20" s="6" t="s">
        <v>100</v>
      </c>
      <c r="M20" s="6" t="s">
        <v>25</v>
      </c>
      <c r="N20" s="6" t="s">
        <v>26</v>
      </c>
      <c r="O20" s="6" t="s">
        <v>23</v>
      </c>
      <c r="P20" s="5" t="s">
        <v>22</v>
      </c>
      <c r="Q20" s="3" t="s">
        <v>15</v>
      </c>
    </row>
    <row r="21" spans="1:17" x14ac:dyDescent="0.2">
      <c r="A21" t="s">
        <v>12</v>
      </c>
      <c r="B21" s="2"/>
      <c r="C21" s="15">
        <f>+C4</f>
        <v>39026.485999999997</v>
      </c>
      <c r="D21" s="15" t="s">
        <v>14</v>
      </c>
      <c r="E21">
        <f t="shared" ref="E21:E32" si="0">+(C21-C$7)/C$8</f>
        <v>0</v>
      </c>
      <c r="F21">
        <f t="shared" ref="F21:F32" si="1">ROUND(2*E21,0)/2</f>
        <v>0</v>
      </c>
      <c r="G21">
        <f t="shared" ref="G21:G32" si="2">+C21-(C$7+F21*C$8)</f>
        <v>0</v>
      </c>
      <c r="H21">
        <f>+G21</f>
        <v>0</v>
      </c>
      <c r="O21">
        <f t="shared" ref="O21:O32" ca="1" si="3">+C$11+C$12*$F21</f>
        <v>-1.9093042557910972E-3</v>
      </c>
      <c r="Q21" s="1">
        <f t="shared" ref="Q21:Q32" si="4">+C21-15018.5</f>
        <v>24007.985999999997</v>
      </c>
    </row>
    <row r="22" spans="1:17" x14ac:dyDescent="0.2">
      <c r="A22" t="s">
        <v>31</v>
      </c>
      <c r="B22" s="2" t="s">
        <v>32</v>
      </c>
      <c r="C22" s="15">
        <v>51353.064100000003</v>
      </c>
      <c r="D22" s="15"/>
      <c r="E22">
        <f t="shared" si="0"/>
        <v>36313.057538628869</v>
      </c>
      <c r="F22">
        <f t="shared" si="1"/>
        <v>36313</v>
      </c>
      <c r="G22">
        <f t="shared" si="2"/>
        <v>1.9531663005182054E-2</v>
      </c>
      <c r="I22">
        <f>+G22</f>
        <v>1.9531663005182054E-2</v>
      </c>
      <c r="O22">
        <f t="shared" ca="1" si="3"/>
        <v>1.7491118118876492E-2</v>
      </c>
      <c r="Q22" s="1">
        <f t="shared" si="4"/>
        <v>36334.564100000003</v>
      </c>
    </row>
    <row r="23" spans="1:17" x14ac:dyDescent="0.2">
      <c r="A23" t="s">
        <v>31</v>
      </c>
      <c r="B23" s="2" t="s">
        <v>33</v>
      </c>
      <c r="C23" s="15">
        <v>51353.229500000001</v>
      </c>
      <c r="D23" s="15"/>
      <c r="E23">
        <f t="shared" si="0"/>
        <v>36313.544793053261</v>
      </c>
      <c r="F23">
        <f t="shared" si="1"/>
        <v>36313.5</v>
      </c>
      <c r="G23">
        <f t="shared" si="2"/>
        <v>1.5205138501187321E-2</v>
      </c>
      <c r="I23">
        <f>+G23</f>
        <v>1.5205138501187321E-2</v>
      </c>
      <c r="O23">
        <f t="shared" ca="1" si="3"/>
        <v>1.749138524665958E-2</v>
      </c>
      <c r="Q23" s="1">
        <f t="shared" si="4"/>
        <v>36334.729500000001</v>
      </c>
    </row>
    <row r="24" spans="1:17" x14ac:dyDescent="0.2">
      <c r="A24" t="s">
        <v>34</v>
      </c>
      <c r="B24" s="2" t="s">
        <v>32</v>
      </c>
      <c r="C24" s="15">
        <v>52253.288</v>
      </c>
      <c r="D24" s="15">
        <v>5.0000000000000001E-3</v>
      </c>
      <c r="E24">
        <f t="shared" si="0"/>
        <v>38965.041082898046</v>
      </c>
      <c r="F24">
        <f t="shared" si="1"/>
        <v>38965</v>
      </c>
      <c r="G24">
        <f t="shared" si="2"/>
        <v>1.394571500713937E-2</v>
      </c>
      <c r="J24">
        <f>+G24</f>
        <v>1.394571500713937E-2</v>
      </c>
      <c r="O24">
        <f t="shared" ca="1" si="3"/>
        <v>1.8907963880383898E-2</v>
      </c>
      <c r="Q24" s="1">
        <f t="shared" si="4"/>
        <v>37234.788</v>
      </c>
    </row>
    <row r="25" spans="1:17" x14ac:dyDescent="0.2">
      <c r="A25" s="14" t="s">
        <v>35</v>
      </c>
      <c r="B25" s="2" t="s">
        <v>33</v>
      </c>
      <c r="C25" s="15">
        <v>53260.958400000003</v>
      </c>
      <c r="D25" s="15">
        <v>2.0000000000000001E-4</v>
      </c>
      <c r="E25">
        <f t="shared" si="0"/>
        <v>41933.552937390188</v>
      </c>
      <c r="F25">
        <f t="shared" si="1"/>
        <v>41933.5</v>
      </c>
      <c r="G25">
        <f t="shared" si="2"/>
        <v>1.7969758504477795E-2</v>
      </c>
      <c r="J25">
        <f>+G25</f>
        <v>1.7969758504477795E-2</v>
      </c>
      <c r="O25">
        <f t="shared" ca="1" si="3"/>
        <v>2.0493901528587041E-2</v>
      </c>
      <c r="Q25" s="1">
        <f t="shared" si="4"/>
        <v>38242.458400000003</v>
      </c>
    </row>
    <row r="26" spans="1:17" x14ac:dyDescent="0.2">
      <c r="A26" s="14" t="s">
        <v>35</v>
      </c>
      <c r="B26" s="2" t="s">
        <v>32</v>
      </c>
      <c r="C26" s="15">
        <v>53302.879500000003</v>
      </c>
      <c r="D26" s="15">
        <v>4.0000000000000002E-4</v>
      </c>
      <c r="E26">
        <f t="shared" si="0"/>
        <v>42057.04895583367</v>
      </c>
      <c r="F26">
        <f t="shared" si="1"/>
        <v>42057</v>
      </c>
      <c r="G26">
        <f t="shared" si="2"/>
        <v>1.6618207002466079E-2</v>
      </c>
      <c r="J26">
        <f>+G26</f>
        <v>1.6618207002466079E-2</v>
      </c>
      <c r="O26">
        <f t="shared" ca="1" si="3"/>
        <v>2.055988209101018E-2</v>
      </c>
      <c r="Q26" s="1">
        <f t="shared" si="4"/>
        <v>38284.379500000003</v>
      </c>
    </row>
    <row r="27" spans="1:17" x14ac:dyDescent="0.2">
      <c r="A27" s="51" t="s">
        <v>78</v>
      </c>
      <c r="B27" s="52" t="s">
        <v>32</v>
      </c>
      <c r="C27" s="51">
        <v>53988.916499999999</v>
      </c>
      <c r="D27" s="16"/>
      <c r="E27">
        <f t="shared" si="0"/>
        <v>44078.055990594454</v>
      </c>
      <c r="F27">
        <f t="shared" si="1"/>
        <v>44078</v>
      </c>
      <c r="G27">
        <f t="shared" si="2"/>
        <v>1.9006178001291119E-2</v>
      </c>
      <c r="I27">
        <f>+G27</f>
        <v>1.9006178001291119E-2</v>
      </c>
      <c r="O27">
        <f t="shared" ca="1" si="3"/>
        <v>2.163961259025847E-2</v>
      </c>
      <c r="Q27" s="1">
        <f t="shared" si="4"/>
        <v>38970.416499999999</v>
      </c>
    </row>
    <row r="28" spans="1:17" x14ac:dyDescent="0.2">
      <c r="A28" s="51" t="s">
        <v>78</v>
      </c>
      <c r="B28" s="52" t="s">
        <v>33</v>
      </c>
      <c r="C28" s="51">
        <v>54109.593699999998</v>
      </c>
      <c r="D28" s="16"/>
      <c r="E28">
        <f t="shared" si="0"/>
        <v>44433.560825078937</v>
      </c>
      <c r="F28">
        <f t="shared" si="1"/>
        <v>44433.5</v>
      </c>
      <c r="G28">
        <f t="shared" si="2"/>
        <v>2.0647258497774601E-2</v>
      </c>
      <c r="I28">
        <f>+G28</f>
        <v>2.0647258497774601E-2</v>
      </c>
      <c r="O28">
        <f t="shared" ca="1" si="3"/>
        <v>2.1829540444035199E-2</v>
      </c>
      <c r="Q28" s="1">
        <f t="shared" si="4"/>
        <v>39091.093699999998</v>
      </c>
    </row>
    <row r="29" spans="1:17" x14ac:dyDescent="0.2">
      <c r="A29" s="35" t="s">
        <v>45</v>
      </c>
      <c r="B29" s="36" t="s">
        <v>32</v>
      </c>
      <c r="C29" s="37">
        <v>55059.55846</v>
      </c>
      <c r="D29" s="37">
        <v>2.9999999999999997E-4</v>
      </c>
      <c r="E29">
        <f t="shared" si="0"/>
        <v>47232.076740014796</v>
      </c>
      <c r="F29">
        <f t="shared" si="1"/>
        <v>47232</v>
      </c>
      <c r="G29">
        <f t="shared" si="2"/>
        <v>2.604963200428756E-2</v>
      </c>
      <c r="J29">
        <f>+G29</f>
        <v>2.604963200428756E-2</v>
      </c>
      <c r="O29">
        <f t="shared" ca="1" si="3"/>
        <v>2.3324654645987868E-2</v>
      </c>
      <c r="Q29" s="1">
        <f t="shared" si="4"/>
        <v>40041.05846</v>
      </c>
    </row>
    <row r="30" spans="1:17" x14ac:dyDescent="0.2">
      <c r="A30" s="35" t="s">
        <v>45</v>
      </c>
      <c r="B30" s="36" t="s">
        <v>32</v>
      </c>
      <c r="C30" s="37">
        <v>55075.512549999999</v>
      </c>
      <c r="D30" s="37">
        <v>2.0000000000000001E-4</v>
      </c>
      <c r="E30">
        <f t="shared" si="0"/>
        <v>47279.076141101337</v>
      </c>
      <c r="F30">
        <f t="shared" si="1"/>
        <v>47279</v>
      </c>
      <c r="G30">
        <f t="shared" si="2"/>
        <v>2.5846329001069535E-2</v>
      </c>
      <c r="J30">
        <f>+G30</f>
        <v>2.5846329001069535E-2</v>
      </c>
      <c r="O30">
        <f t="shared" ca="1" si="3"/>
        <v>2.334976465759829E-2</v>
      </c>
      <c r="Q30" s="1">
        <f t="shared" si="4"/>
        <v>40057.012549999999</v>
      </c>
    </row>
    <row r="31" spans="1:17" x14ac:dyDescent="0.2">
      <c r="A31" s="35" t="s">
        <v>45</v>
      </c>
      <c r="B31" s="36" t="s">
        <v>33</v>
      </c>
      <c r="C31" s="37">
        <v>55096.390500000001</v>
      </c>
      <c r="D31" s="37">
        <v>0.02</v>
      </c>
      <c r="E31">
        <f t="shared" si="0"/>
        <v>47340.58081770243</v>
      </c>
      <c r="F31">
        <f t="shared" si="1"/>
        <v>47340.5</v>
      </c>
      <c r="G31">
        <f t="shared" si="2"/>
        <v>2.7433815506810788E-2</v>
      </c>
      <c r="J31">
        <f>+G31</f>
        <v>2.7433815506810788E-2</v>
      </c>
      <c r="O31">
        <f t="shared" ca="1" si="3"/>
        <v>2.3382621374918314E-2</v>
      </c>
      <c r="Q31" s="1">
        <f t="shared" si="4"/>
        <v>40077.890500000001</v>
      </c>
    </row>
    <row r="32" spans="1:17" x14ac:dyDescent="0.2">
      <c r="A32" s="35" t="s">
        <v>45</v>
      </c>
      <c r="B32" s="36" t="s">
        <v>33</v>
      </c>
      <c r="C32" s="37">
        <v>55101.482559999997</v>
      </c>
      <c r="D32" s="37">
        <v>2.9999999999999997E-4</v>
      </c>
      <c r="E32">
        <f t="shared" si="0"/>
        <v>47355.581596204778</v>
      </c>
      <c r="F32">
        <f t="shared" si="1"/>
        <v>47355.5</v>
      </c>
      <c r="G32">
        <f t="shared" si="2"/>
        <v>2.7698080499249045E-2</v>
      </c>
      <c r="J32">
        <f>+G32</f>
        <v>2.7698080499249045E-2</v>
      </c>
      <c r="O32">
        <f t="shared" ca="1" si="3"/>
        <v>2.3390635208411004E-2</v>
      </c>
      <c r="Q32" s="1">
        <f t="shared" si="4"/>
        <v>40082.982559999997</v>
      </c>
    </row>
    <row r="33" spans="1:17" x14ac:dyDescent="0.2">
      <c r="A33" s="51"/>
      <c r="B33" s="52"/>
      <c r="C33" s="51"/>
      <c r="D33" s="16"/>
      <c r="Q33" s="1"/>
    </row>
    <row r="34" spans="1:17" x14ac:dyDescent="0.2">
      <c r="A34" s="51"/>
      <c r="B34" s="52"/>
      <c r="C34" s="51"/>
      <c r="D34" s="16"/>
      <c r="Q34" s="1"/>
    </row>
    <row r="35" spans="1:17" x14ac:dyDescent="0.2">
      <c r="A35" s="51"/>
      <c r="B35" s="52"/>
      <c r="C35" s="51"/>
      <c r="D35" s="16"/>
      <c r="Q35" s="1"/>
    </row>
    <row r="36" spans="1:17" x14ac:dyDescent="0.2">
      <c r="C36" s="16"/>
      <c r="D36" s="16"/>
    </row>
    <row r="37" spans="1:17" x14ac:dyDescent="0.2">
      <c r="C37" s="16"/>
      <c r="D37" s="16"/>
    </row>
    <row r="38" spans="1:17" x14ac:dyDescent="0.2">
      <c r="C38" s="16"/>
      <c r="D38" s="16"/>
    </row>
    <row r="39" spans="1:17" x14ac:dyDescent="0.2">
      <c r="C39" s="16"/>
      <c r="D39" s="16"/>
    </row>
    <row r="40" spans="1:17" x14ac:dyDescent="0.2">
      <c r="D40" s="2"/>
    </row>
    <row r="41" spans="1:17" x14ac:dyDescent="0.2">
      <c r="D41" s="2"/>
    </row>
    <row r="42" spans="1:17" x14ac:dyDescent="0.2">
      <c r="D42" s="2"/>
    </row>
    <row r="43" spans="1:17" x14ac:dyDescent="0.2">
      <c r="D43" s="2"/>
    </row>
    <row r="44" spans="1:17" x14ac:dyDescent="0.2">
      <c r="D44" s="2"/>
    </row>
    <row r="45" spans="1:17" x14ac:dyDescent="0.2">
      <c r="D45" s="2"/>
    </row>
    <row r="46" spans="1:17" x14ac:dyDescent="0.2">
      <c r="D46" s="2"/>
    </row>
    <row r="47" spans="1:17" x14ac:dyDescent="0.2">
      <c r="D47" s="2"/>
    </row>
    <row r="48" spans="1:17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3"/>
  <sheetViews>
    <sheetView workbookViewId="0">
      <selection activeCell="A15" sqref="A15:C19"/>
    </sheetView>
  </sheetViews>
  <sheetFormatPr defaultRowHeight="12.75" x14ac:dyDescent="0.2"/>
  <cols>
    <col min="1" max="1" width="19.7109375" style="16" customWidth="1"/>
    <col min="2" max="2" width="4.42578125" style="18" customWidth="1"/>
    <col min="3" max="3" width="12.7109375" style="16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6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38" t="s">
        <v>46</v>
      </c>
      <c r="I1" s="39" t="s">
        <v>47</v>
      </c>
      <c r="J1" s="40" t="s">
        <v>48</v>
      </c>
    </row>
    <row r="2" spans="1:16" x14ac:dyDescent="0.2">
      <c r="I2" s="41" t="s">
        <v>49</v>
      </c>
      <c r="J2" s="42" t="s">
        <v>50</v>
      </c>
    </row>
    <row r="3" spans="1:16" x14ac:dyDescent="0.2">
      <c r="A3" s="43" t="s">
        <v>51</v>
      </c>
      <c r="I3" s="41" t="s">
        <v>52</v>
      </c>
      <c r="J3" s="42" t="s">
        <v>53</v>
      </c>
    </row>
    <row r="4" spans="1:16" x14ac:dyDescent="0.2">
      <c r="I4" s="41" t="s">
        <v>54</v>
      </c>
      <c r="J4" s="42" t="s">
        <v>53</v>
      </c>
    </row>
    <row r="5" spans="1:16" ht="13.5" thickBot="1" x14ac:dyDescent="0.25">
      <c r="I5" s="44" t="s">
        <v>55</v>
      </c>
      <c r="J5" s="45" t="s">
        <v>56</v>
      </c>
    </row>
    <row r="10" spans="1:16" ht="13.5" thickBot="1" x14ac:dyDescent="0.25"/>
    <row r="11" spans="1:16" ht="12.75" customHeight="1" thickBot="1" x14ac:dyDescent="0.25">
      <c r="A11" s="16" t="str">
        <f t="shared" ref="A11:A19" si="0">P11</f>
        <v> BBS 127 </v>
      </c>
      <c r="B11" s="2" t="str">
        <f t="shared" ref="B11:B19" si="1">IF(H11=INT(H11),"I","II")</f>
        <v>II</v>
      </c>
      <c r="C11" s="16">
        <f t="shared" ref="C11:C19" si="2">1*G11</f>
        <v>52253.288</v>
      </c>
      <c r="D11" s="18" t="str">
        <f t="shared" ref="D11:D19" si="3">VLOOKUP(F11,I$1:J$5,2,FALSE)</f>
        <v>vis</v>
      </c>
      <c r="E11" s="46">
        <f>VLOOKUP(C11,Active!C$21:E$973,3,FALSE)</f>
        <v>38965.041082898046</v>
      </c>
      <c r="F11" s="2" t="s">
        <v>55</v>
      </c>
      <c r="G11" s="18" t="str">
        <f t="shared" ref="G11:G19" si="4">MID(I11,3,LEN(I11)-3)</f>
        <v>52253.288</v>
      </c>
      <c r="H11" s="16">
        <f t="shared" ref="H11:H19" si="5">1*K11</f>
        <v>38963.5</v>
      </c>
      <c r="I11" s="47" t="s">
        <v>57</v>
      </c>
      <c r="J11" s="48" t="s">
        <v>58</v>
      </c>
      <c r="K11" s="47">
        <v>38963.5</v>
      </c>
      <c r="L11" s="47" t="s">
        <v>59</v>
      </c>
      <c r="M11" s="48" t="s">
        <v>60</v>
      </c>
      <c r="N11" s="48" t="s">
        <v>61</v>
      </c>
      <c r="O11" s="49" t="s">
        <v>62</v>
      </c>
      <c r="P11" s="49" t="s">
        <v>63</v>
      </c>
    </row>
    <row r="12" spans="1:16" ht="12.75" customHeight="1" thickBot="1" x14ac:dyDescent="0.25">
      <c r="A12" s="16" t="str">
        <f t="shared" si="0"/>
        <v>IBVS 5690 </v>
      </c>
      <c r="B12" s="2" t="str">
        <f t="shared" si="1"/>
        <v>I</v>
      </c>
      <c r="C12" s="16">
        <f t="shared" si="2"/>
        <v>53260.958400000003</v>
      </c>
      <c r="D12" s="18" t="str">
        <f t="shared" si="3"/>
        <v>vis</v>
      </c>
      <c r="E12" s="46">
        <f>VLOOKUP(C12,Active!C$21:E$973,3,FALSE)</f>
        <v>41933.552937390188</v>
      </c>
      <c r="F12" s="2" t="s">
        <v>55</v>
      </c>
      <c r="G12" s="18" t="str">
        <f t="shared" si="4"/>
        <v>53260.9584</v>
      </c>
      <c r="H12" s="16">
        <f t="shared" si="5"/>
        <v>41932</v>
      </c>
      <c r="I12" s="47" t="s">
        <v>64</v>
      </c>
      <c r="J12" s="48" t="s">
        <v>65</v>
      </c>
      <c r="K12" s="47">
        <v>41932</v>
      </c>
      <c r="L12" s="47" t="s">
        <v>66</v>
      </c>
      <c r="M12" s="48" t="s">
        <v>60</v>
      </c>
      <c r="N12" s="48" t="s">
        <v>61</v>
      </c>
      <c r="O12" s="49" t="s">
        <v>67</v>
      </c>
      <c r="P12" s="50" t="s">
        <v>68</v>
      </c>
    </row>
    <row r="13" spans="1:16" ht="12.75" customHeight="1" thickBot="1" x14ac:dyDescent="0.25">
      <c r="A13" s="16" t="str">
        <f t="shared" si="0"/>
        <v>IBVS 5690 </v>
      </c>
      <c r="B13" s="2" t="str">
        <f t="shared" si="1"/>
        <v>II</v>
      </c>
      <c r="C13" s="16">
        <f t="shared" si="2"/>
        <v>53302.879500000003</v>
      </c>
      <c r="D13" s="18" t="str">
        <f t="shared" si="3"/>
        <v>vis</v>
      </c>
      <c r="E13" s="46">
        <f>VLOOKUP(C13,Active!C$21:E$973,3,FALSE)</f>
        <v>42057.04895583367</v>
      </c>
      <c r="F13" s="2" t="s">
        <v>55</v>
      </c>
      <c r="G13" s="18" t="str">
        <f t="shared" si="4"/>
        <v>53302.8795</v>
      </c>
      <c r="H13" s="16">
        <f t="shared" si="5"/>
        <v>42055.5</v>
      </c>
      <c r="I13" s="47" t="s">
        <v>69</v>
      </c>
      <c r="J13" s="48" t="s">
        <v>70</v>
      </c>
      <c r="K13" s="47">
        <v>42055.5</v>
      </c>
      <c r="L13" s="47" t="s">
        <v>71</v>
      </c>
      <c r="M13" s="48" t="s">
        <v>60</v>
      </c>
      <c r="N13" s="48" t="s">
        <v>61</v>
      </c>
      <c r="O13" s="49" t="s">
        <v>67</v>
      </c>
      <c r="P13" s="50" t="s">
        <v>68</v>
      </c>
    </row>
    <row r="14" spans="1:16" ht="12.75" customHeight="1" thickBot="1" x14ac:dyDescent="0.25">
      <c r="A14" s="16" t="str">
        <f t="shared" si="0"/>
        <v>OEJV 0137 </v>
      </c>
      <c r="B14" s="2" t="str">
        <f t="shared" si="1"/>
        <v>I</v>
      </c>
      <c r="C14" s="16">
        <f t="shared" si="2"/>
        <v>55096.390500000001</v>
      </c>
      <c r="D14" s="18" t="str">
        <f t="shared" si="3"/>
        <v>vis</v>
      </c>
      <c r="E14" s="46">
        <f>VLOOKUP(C14,Active!C$21:E$973,3,FALSE)</f>
        <v>47340.58081770243</v>
      </c>
      <c r="F14" s="2" t="s">
        <v>55</v>
      </c>
      <c r="G14" s="18" t="str">
        <f t="shared" si="4"/>
        <v>55096.3905</v>
      </c>
      <c r="H14" s="16">
        <f t="shared" si="5"/>
        <v>47339</v>
      </c>
      <c r="I14" s="47" t="s">
        <v>90</v>
      </c>
      <c r="J14" s="48" t="s">
        <v>91</v>
      </c>
      <c r="K14" s="47">
        <v>47339</v>
      </c>
      <c r="L14" s="47" t="s">
        <v>92</v>
      </c>
      <c r="M14" s="48" t="s">
        <v>75</v>
      </c>
      <c r="N14" s="48" t="s">
        <v>47</v>
      </c>
      <c r="O14" s="49" t="s">
        <v>93</v>
      </c>
      <c r="P14" s="50" t="s">
        <v>86</v>
      </c>
    </row>
    <row r="15" spans="1:16" ht="12.75" customHeight="1" thickBot="1" x14ac:dyDescent="0.25">
      <c r="A15" s="16" t="str">
        <f t="shared" si="0"/>
        <v>IBVS 5806 </v>
      </c>
      <c r="B15" s="2" t="str">
        <f t="shared" si="1"/>
        <v>II</v>
      </c>
      <c r="C15" s="16">
        <f t="shared" si="2"/>
        <v>53988.916499999999</v>
      </c>
      <c r="D15" s="18" t="str">
        <f t="shared" si="3"/>
        <v>vis</v>
      </c>
      <c r="E15" s="46">
        <f>VLOOKUP(C15,Active!C$21:E$973,3,FALSE)</f>
        <v>44078.055990594454</v>
      </c>
      <c r="F15" s="2" t="s">
        <v>55</v>
      </c>
      <c r="G15" s="18" t="str">
        <f t="shared" si="4"/>
        <v>53988.9165</v>
      </c>
      <c r="H15" s="16">
        <f t="shared" si="5"/>
        <v>44076.5</v>
      </c>
      <c r="I15" s="47" t="s">
        <v>72</v>
      </c>
      <c r="J15" s="48" t="s">
        <v>73</v>
      </c>
      <c r="K15" s="47">
        <v>44076.5</v>
      </c>
      <c r="L15" s="47" t="s">
        <v>74</v>
      </c>
      <c r="M15" s="48" t="s">
        <v>75</v>
      </c>
      <c r="N15" s="48" t="s">
        <v>76</v>
      </c>
      <c r="O15" s="49" t="s">
        <v>77</v>
      </c>
      <c r="P15" s="50" t="s">
        <v>78</v>
      </c>
    </row>
    <row r="16" spans="1:16" ht="12.75" customHeight="1" thickBot="1" x14ac:dyDescent="0.25">
      <c r="A16" s="16" t="str">
        <f t="shared" si="0"/>
        <v>IBVS 5806 </v>
      </c>
      <c r="B16" s="2" t="str">
        <f t="shared" si="1"/>
        <v>I</v>
      </c>
      <c r="C16" s="16">
        <f t="shared" si="2"/>
        <v>54109.593699999998</v>
      </c>
      <c r="D16" s="18" t="str">
        <f t="shared" si="3"/>
        <v>vis</v>
      </c>
      <c r="E16" s="46">
        <f>VLOOKUP(C16,Active!C$21:E$973,3,FALSE)</f>
        <v>44433.560825078937</v>
      </c>
      <c r="F16" s="2" t="s">
        <v>55</v>
      </c>
      <c r="G16" s="18" t="str">
        <f t="shared" si="4"/>
        <v>54109.5937</v>
      </c>
      <c r="H16" s="16">
        <f t="shared" si="5"/>
        <v>44432</v>
      </c>
      <c r="I16" s="47" t="s">
        <v>79</v>
      </c>
      <c r="J16" s="48" t="s">
        <v>80</v>
      </c>
      <c r="K16" s="47">
        <v>44432</v>
      </c>
      <c r="L16" s="47" t="s">
        <v>81</v>
      </c>
      <c r="M16" s="48" t="s">
        <v>75</v>
      </c>
      <c r="N16" s="48" t="s">
        <v>76</v>
      </c>
      <c r="O16" s="49" t="s">
        <v>77</v>
      </c>
      <c r="P16" s="50" t="s">
        <v>78</v>
      </c>
    </row>
    <row r="17" spans="1:16" ht="12.75" customHeight="1" thickBot="1" x14ac:dyDescent="0.25">
      <c r="A17" s="16" t="str">
        <f t="shared" si="0"/>
        <v>OEJV 0137 </v>
      </c>
      <c r="B17" s="2" t="str">
        <f t="shared" si="1"/>
        <v>II</v>
      </c>
      <c r="C17" s="16">
        <f t="shared" si="2"/>
        <v>55059.558400000002</v>
      </c>
      <c r="D17" s="18" t="str">
        <f t="shared" si="3"/>
        <v>vis</v>
      </c>
      <c r="E17" s="46" t="e">
        <f>VLOOKUP(C17,Active!C$21:E$973,3,FALSE)</f>
        <v>#N/A</v>
      </c>
      <c r="F17" s="2" t="s">
        <v>55</v>
      </c>
      <c r="G17" s="18" t="str">
        <f t="shared" si="4"/>
        <v>55059.5584</v>
      </c>
      <c r="H17" s="16">
        <f t="shared" si="5"/>
        <v>47230.5</v>
      </c>
      <c r="I17" s="47" t="s">
        <v>82</v>
      </c>
      <c r="J17" s="48" t="s">
        <v>83</v>
      </c>
      <c r="K17" s="47">
        <v>47230.5</v>
      </c>
      <c r="L17" s="47" t="s">
        <v>84</v>
      </c>
      <c r="M17" s="48" t="s">
        <v>75</v>
      </c>
      <c r="N17" s="48" t="s">
        <v>47</v>
      </c>
      <c r="O17" s="49" t="s">
        <v>85</v>
      </c>
      <c r="P17" s="50" t="s">
        <v>86</v>
      </c>
    </row>
    <row r="18" spans="1:16" ht="12.75" customHeight="1" thickBot="1" x14ac:dyDescent="0.25">
      <c r="A18" s="16" t="str">
        <f t="shared" si="0"/>
        <v>OEJV 0137 </v>
      </c>
      <c r="B18" s="2" t="str">
        <f t="shared" si="1"/>
        <v>II</v>
      </c>
      <c r="C18" s="16">
        <f t="shared" si="2"/>
        <v>55075.512499999997</v>
      </c>
      <c r="D18" s="18" t="str">
        <f t="shared" si="3"/>
        <v>vis</v>
      </c>
      <c r="E18" s="46" t="e">
        <f>VLOOKUP(C18,Active!C$21:E$973,3,FALSE)</f>
        <v>#N/A</v>
      </c>
      <c r="F18" s="2" t="s">
        <v>55</v>
      </c>
      <c r="G18" s="18" t="str">
        <f t="shared" si="4"/>
        <v>55075.5125</v>
      </c>
      <c r="H18" s="16">
        <f t="shared" si="5"/>
        <v>47277.5</v>
      </c>
      <c r="I18" s="47" t="s">
        <v>87</v>
      </c>
      <c r="J18" s="48" t="s">
        <v>88</v>
      </c>
      <c r="K18" s="47">
        <v>47277.5</v>
      </c>
      <c r="L18" s="47" t="s">
        <v>89</v>
      </c>
      <c r="M18" s="48" t="s">
        <v>75</v>
      </c>
      <c r="N18" s="48" t="s">
        <v>47</v>
      </c>
      <c r="O18" s="49" t="s">
        <v>85</v>
      </c>
      <c r="P18" s="50" t="s">
        <v>86</v>
      </c>
    </row>
    <row r="19" spans="1:16" ht="12.75" customHeight="1" thickBot="1" x14ac:dyDescent="0.25">
      <c r="A19" s="16" t="str">
        <f t="shared" si="0"/>
        <v>OEJV 0137 </v>
      </c>
      <c r="B19" s="2" t="str">
        <f t="shared" si="1"/>
        <v>I</v>
      </c>
      <c r="C19" s="16">
        <f t="shared" si="2"/>
        <v>55101.482499999998</v>
      </c>
      <c r="D19" s="18" t="str">
        <f t="shared" si="3"/>
        <v>vis</v>
      </c>
      <c r="E19" s="46" t="e">
        <f>VLOOKUP(C19,Active!C$21:E$973,3,FALSE)</f>
        <v>#N/A</v>
      </c>
      <c r="F19" s="2" t="s">
        <v>55</v>
      </c>
      <c r="G19" s="18" t="str">
        <f t="shared" si="4"/>
        <v>55101.4825</v>
      </c>
      <c r="H19" s="16">
        <f t="shared" si="5"/>
        <v>47354</v>
      </c>
      <c r="I19" s="47" t="s">
        <v>94</v>
      </c>
      <c r="J19" s="48" t="s">
        <v>95</v>
      </c>
      <c r="K19" s="47">
        <v>47354</v>
      </c>
      <c r="L19" s="47" t="s">
        <v>92</v>
      </c>
      <c r="M19" s="48" t="s">
        <v>75</v>
      </c>
      <c r="N19" s="48" t="s">
        <v>47</v>
      </c>
      <c r="O19" s="49" t="s">
        <v>96</v>
      </c>
      <c r="P19" s="50" t="s">
        <v>86</v>
      </c>
    </row>
    <row r="20" spans="1:16" x14ac:dyDescent="0.2">
      <c r="B20" s="2"/>
      <c r="F20" s="2"/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</sheetData>
  <phoneticPr fontId="6" type="noConversion"/>
  <hyperlinks>
    <hyperlink ref="P12" r:id="rId1" display="http://www.konkoly.hu/cgi-bin/IBVS?5690"/>
    <hyperlink ref="P13" r:id="rId2" display="http://www.konkoly.hu/cgi-bin/IBVS?5690"/>
    <hyperlink ref="P15" r:id="rId3" display="http://www.konkoly.hu/cgi-bin/IBVS?5806"/>
    <hyperlink ref="P16" r:id="rId4" display="http://www.konkoly.hu/cgi-bin/IBVS?5806"/>
    <hyperlink ref="P17" r:id="rId5" display="http://var.astro.cz/oejv/issues/oejv0137.pdf"/>
    <hyperlink ref="P18" r:id="rId6" display="http://var.astro.cz/oejv/issues/oejv0137.pdf"/>
    <hyperlink ref="P14" r:id="rId7" display="http://var.astro.cz/oejv/issues/oejv0137.pdf"/>
    <hyperlink ref="P19" r:id="rId8" display="http://var.astro.cz/oejv/issues/oejv0137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2024-03-03T05:58:40Z</dcterms:modified>
</cp:coreProperties>
</file>