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C20C052-FF59-4B2E-B9A6-0037FB42C0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2" i="1" l="1"/>
  <c r="C7" i="1"/>
  <c r="C8" i="1"/>
  <c r="E27" i="1"/>
  <c r="F27" i="1"/>
  <c r="G27" i="1"/>
  <c r="I27" i="1"/>
  <c r="E31" i="1"/>
  <c r="F31" i="1"/>
  <c r="G31" i="1"/>
  <c r="I31" i="1"/>
  <c r="E32" i="1"/>
  <c r="F32" i="1"/>
  <c r="G32" i="1"/>
  <c r="I32" i="1"/>
  <c r="G11" i="1"/>
  <c r="F1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8" i="1"/>
  <c r="F28" i="1"/>
  <c r="G28" i="1"/>
  <c r="I28" i="1"/>
  <c r="E29" i="1"/>
  <c r="F29" i="1"/>
  <c r="G29" i="1"/>
  <c r="I29" i="1"/>
  <c r="E30" i="1"/>
  <c r="F30" i="1"/>
  <c r="G30" i="1"/>
  <c r="I30" i="1"/>
  <c r="E33" i="1"/>
  <c r="F33" i="1"/>
  <c r="G33" i="1"/>
  <c r="I33" i="1"/>
  <c r="E21" i="1"/>
  <c r="F21" i="1"/>
  <c r="Q31" i="1"/>
  <c r="Q27" i="1"/>
  <c r="G18" i="2"/>
  <c r="C18" i="2"/>
  <c r="E18" i="2"/>
  <c r="G22" i="2"/>
  <c r="C22" i="2"/>
  <c r="E22" i="2"/>
  <c r="G21" i="2"/>
  <c r="C21" i="2"/>
  <c r="E21" i="2"/>
  <c r="G17" i="2"/>
  <c r="C17" i="2"/>
  <c r="E17" i="2"/>
  <c r="G20" i="2"/>
  <c r="C20" i="2"/>
  <c r="E20" i="2"/>
  <c r="G16" i="2"/>
  <c r="C16" i="2"/>
  <c r="E16" i="2"/>
  <c r="G19" i="2"/>
  <c r="C19" i="2"/>
  <c r="E19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8" i="2"/>
  <c r="D18" i="2"/>
  <c r="B18" i="2"/>
  <c r="A18" i="2"/>
  <c r="H22" i="2"/>
  <c r="D22" i="2"/>
  <c r="B22" i="2"/>
  <c r="A22" i="2"/>
  <c r="H21" i="2"/>
  <c r="D21" i="2"/>
  <c r="B21" i="2"/>
  <c r="A21" i="2"/>
  <c r="H17" i="2"/>
  <c r="D17" i="2"/>
  <c r="B17" i="2"/>
  <c r="A17" i="2"/>
  <c r="H20" i="2"/>
  <c r="D20" i="2"/>
  <c r="B20" i="2"/>
  <c r="A20" i="2"/>
  <c r="H16" i="2"/>
  <c r="D16" i="2"/>
  <c r="B16" i="2"/>
  <c r="A16" i="2"/>
  <c r="H19" i="2"/>
  <c r="D19" i="2"/>
  <c r="B19" i="2"/>
  <c r="A19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33" i="1"/>
  <c r="Q30" i="1"/>
  <c r="Q29" i="1"/>
  <c r="E14" i="1"/>
  <c r="E15" i="1" s="1"/>
  <c r="C17" i="1"/>
  <c r="Q25" i="1"/>
  <c r="Q28" i="1"/>
  <c r="Q26" i="1"/>
  <c r="Q24" i="1"/>
  <c r="Q22" i="1"/>
  <c r="Q23" i="1"/>
  <c r="Q21" i="1"/>
  <c r="C11" i="1"/>
  <c r="C12" i="1" l="1"/>
  <c r="C16" i="1" l="1"/>
  <c r="D18" i="1" s="1"/>
  <c r="O33" i="1"/>
  <c r="O25" i="1"/>
  <c r="O26" i="1"/>
  <c r="O28" i="1"/>
  <c r="O30" i="1"/>
  <c r="O29" i="1"/>
  <c r="O22" i="1"/>
  <c r="O27" i="1"/>
  <c r="O32" i="1"/>
  <c r="O23" i="1"/>
  <c r="C15" i="1"/>
  <c r="O24" i="1"/>
  <c r="O31" i="1"/>
  <c r="C18" i="1" l="1"/>
  <c r="E16" i="1"/>
  <c r="E17" i="1" s="1"/>
</calcChain>
</file>

<file path=xl/sharedStrings.xml><?xml version="1.0" encoding="utf-8"?>
<sst xmlns="http://schemas.openxmlformats.org/spreadsheetml/2006/main" count="187" uniqueCount="135">
  <si>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</si>
  <si>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</si>
  <si>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</si>
  <si>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</si>
  <si>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</si>
  <si>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</si>
  <si>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</si>
  <si>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</si>
  <si>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</si>
  <si>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</si>
  <si>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</si>
  <si>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</si>
  <si>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</si>
  <si>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</si>
  <si>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</si>
  <si>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</si>
  <si>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</si>
  <si>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</si>
  <si>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</si>
  <si>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</si>
  <si>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</si>
  <si>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</si>
  <si>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</si>
  <si>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</si>
  <si>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</si>
  <si>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</si>
  <si>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</si>
  <si>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</si>
  <si>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</t>
  </si>
  <si>
    <t>IBVS 5263</t>
  </si>
  <si>
    <t>Diethelm R</t>
  </si>
  <si>
    <t>BBSAG Bull.111</t>
  </si>
  <si>
    <t>B</t>
  </si>
  <si>
    <t>BBSAG Bull.117</t>
  </si>
  <si>
    <t>IBVS</t>
  </si>
  <si>
    <t># of data points:</t>
  </si>
  <si>
    <t>IBVS 5731</t>
  </si>
  <si>
    <t>EA/SD</t>
  </si>
  <si>
    <t>SIMBAD position makes no sense</t>
  </si>
  <si>
    <t>(no star on VSS image)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</si>
  <si>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</si>
  <si>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</si>
  <si>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</si>
  <si>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</si>
  <si>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</si>
  <si>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</si>
  <si>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5871</t>
  </si>
  <si>
    <t>II</t>
  </si>
  <si>
    <t>Start of linear fit &gt;&gt;&gt;&gt;&gt;&gt;&gt;&gt;&gt;&gt;&gt;&gt;&gt;&gt;&gt;&gt;&gt;&gt;&gt;&gt;&gt;</t>
  </si>
  <si>
    <t>OEJV 0074</t>
  </si>
  <si>
    <t>OEJV</t>
  </si>
  <si>
    <t>Add cycle</t>
  </si>
  <si>
    <t>Old Cycle</t>
  </si>
  <si>
    <t>OEJV 0137</t>
  </si>
  <si>
    <t>IBVS 6011</t>
  </si>
  <si>
    <t>IBVS 6114</t>
  </si>
  <si>
    <t>V0366 Per / GSC 2337-0127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</si>
  <si>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</si>
  <si>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</si>
  <si>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</si>
  <si>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</si>
  <si>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</si>
  <si>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</si>
  <si>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</si>
  <si>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</si>
  <si>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</si>
  <si>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</si>
  <si>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</si>
  <si>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2450048.3811 </t>
  </si>
  <si>
    <t> 26.11.1995 21:08 </t>
  </si>
  <si>
    <t> 0.0467 </t>
  </si>
  <si>
    <t>E </t>
  </si>
  <si>
    <t>?</t>
  </si>
  <si>
    <t> R.Diethelm </t>
  </si>
  <si>
    <t> BBS 111 </t>
  </si>
  <si>
    <t>2450823.3802 </t>
  </si>
  <si>
    <t> 09.01.1998 21:07 </t>
  </si>
  <si>
    <t> 0.0650 </t>
  </si>
  <si>
    <t> BBS 117 </t>
  </si>
  <si>
    <t>2451433.4168 </t>
  </si>
  <si>
    <t> 11.09.1999 22:00 </t>
  </si>
  <si>
    <t> 0.0708 </t>
  </si>
  <si>
    <t> J.Safar </t>
  </si>
  <si>
    <t>IBVS 5263 </t>
  </si>
  <si>
    <t>2452151.53042 </t>
  </si>
  <si>
    <t> 30.08.2001 00:43 </t>
  </si>
  <si>
    <t> 0.08297 </t>
  </si>
  <si>
    <t>C </t>
  </si>
  <si>
    <t>o</t>
  </si>
  <si>
    <t> J.Šafár </t>
  </si>
  <si>
    <t>OEJV 0074 </t>
  </si>
  <si>
    <t>2453652.4446 </t>
  </si>
  <si>
    <t> 08.10.2005 22:40 </t>
  </si>
  <si>
    <t> 0.0940 </t>
  </si>
  <si>
    <t>-I</t>
  </si>
  <si>
    <t> Agerer </t>
  </si>
  <si>
    <t>BAVM 178 </t>
  </si>
  <si>
    <t>2454390.4871 </t>
  </si>
  <si>
    <t> 16.10.2007 23:41 </t>
  </si>
  <si>
    <t>11074.5</t>
  </si>
  <si>
    <t> 0.1273 </t>
  </si>
  <si>
    <t> F.Agerer </t>
  </si>
  <si>
    <t>BAVM 193 </t>
  </si>
  <si>
    <t>2454832.7306 </t>
  </si>
  <si>
    <t> 01.01.2009 05:32 </t>
  </si>
  <si>
    <t>11385.5</t>
  </si>
  <si>
    <t> 0.1340 </t>
  </si>
  <si>
    <t>IBVS 5871 </t>
  </si>
  <si>
    <t>2455101.4955 </t>
  </si>
  <si>
    <t> 26.09.2009 23:53 </t>
  </si>
  <si>
    <t>11574.5</t>
  </si>
  <si>
    <t> 0.1441 </t>
  </si>
  <si>
    <t> L.Brát </t>
  </si>
  <si>
    <t>OEJV 0137 </t>
  </si>
  <si>
    <t>2455845.9137 </t>
  </si>
  <si>
    <t> 11.10.2011 09:55 </t>
  </si>
  <si>
    <t>12098</t>
  </si>
  <si>
    <t> 0.1542 </t>
  </si>
  <si>
    <t>IBVS 6011 </t>
  </si>
  <si>
    <t>2455859.4239 </t>
  </si>
  <si>
    <t> 24.10.2011 22:10 </t>
  </si>
  <si>
    <t>12107.5</t>
  </si>
  <si>
    <t> 0.1555 </t>
  </si>
  <si>
    <t>BAVM 225 </t>
  </si>
  <si>
    <t>2455894.2637 </t>
  </si>
  <si>
    <t> 28.11.2011 18:19 </t>
  </si>
  <si>
    <t>12132</t>
  </si>
  <si>
    <t> 0.1567 </t>
  </si>
  <si>
    <t>2455901.37281 </t>
  </si>
  <si>
    <t> 05.12.2011 20:56 </t>
  </si>
  <si>
    <t>12137</t>
  </si>
  <si>
    <t> 0.15593 </t>
  </si>
  <si>
    <t>R</t>
  </si>
  <si>
    <t> P.Zasche </t>
  </si>
  <si>
    <t>IBVS 6114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</si>
</sst>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 Per - O-C Diagr.</a:t>
            </a:r>
          </a:p>
        </c:rich>
      </c:tx>
      <c:layout>
        <c:manualLayout>
          <c:xMode val="edge"/>
          <c:yMode val="edge"/>
          <c:x val="0.3562615784138093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2106037302341"/>
          <c:y val="0.14769252958613219"/>
          <c:w val="0.8007068464555198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8F-4420-A798-801DDE9EA3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4.6654899997520261E-2</c:v>
                </c:pt>
                <c:pt idx="2">
                  <c:v>6.496540000080131E-2</c:v>
                </c:pt>
                <c:pt idx="3">
                  <c:v>7.0815499995660502E-2</c:v>
                </c:pt>
                <c:pt idx="4">
                  <c:v>8.2970000003115274E-2</c:v>
                </c:pt>
                <c:pt idx="5">
                  <c:v>9.3987950000155251E-2</c:v>
                </c:pt>
                <c:pt idx="6">
                  <c:v>0.12725905000115745</c:v>
                </c:pt>
                <c:pt idx="7">
                  <c:v>0.13401495000289287</c:v>
                </c:pt>
                <c:pt idx="8">
                  <c:v>0.14412904999335296</c:v>
                </c:pt>
                <c:pt idx="9">
                  <c:v>0.15415619999839691</c:v>
                </c:pt>
                <c:pt idx="10">
                  <c:v>0.15551674999733223</c:v>
                </c:pt>
                <c:pt idx="11">
                  <c:v>0.15673080000124173</c:v>
                </c:pt>
                <c:pt idx="12">
                  <c:v>0.15592530000139959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8F-4420-A798-801DDE9EA3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8F-4420-A798-801DDE9EA3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8F-4420-A798-801DDE9EA3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8F-4420-A798-801DDE9EA3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8F-4420-A798-801DDE9EA3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8F-4420-A798-801DDE9EA3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">
                  <c:v>4.4743985135789976E-2</c:v>
                </c:pt>
                <c:pt idx="2">
                  <c:v>5.9271816751213707E-2</c:v>
                </c:pt>
                <c:pt idx="3">
                  <c:v>7.0707486041152789E-2</c:v>
                </c:pt>
                <c:pt idx="4">
                  <c:v>8.4169054785719732E-2</c:v>
                </c:pt>
                <c:pt idx="5">
                  <c:v>0.11230506629045328</c:v>
                </c:pt>
                <c:pt idx="6">
                  <c:v>0.12613982703982013</c:v>
                </c:pt>
                <c:pt idx="7">
                  <c:v>0.13443002086073164</c:v>
                </c:pt>
                <c:pt idx="8">
                  <c:v>0.13946811292553002</c:v>
                </c:pt>
                <c:pt idx="9">
                  <c:v>0.15342282824786824</c:v>
                </c:pt>
                <c:pt idx="10">
                  <c:v>0.15367606567969672</c:v>
                </c:pt>
                <c:pt idx="11">
                  <c:v>0.15432915168809647</c:v>
                </c:pt>
                <c:pt idx="12">
                  <c:v>0.15446243454695358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8F-4420-A798-801DDE9EA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440000"/>
        <c:axId val="1"/>
      </c:scatterChart>
      <c:valAx>
        <c:axId val="787440000"/>
        <c:scaling>
          <c:orientation val="minMax"/>
          <c:max val="13000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467811893884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440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45697528549671"/>
          <c:y val="0.92000129214617399"/>
          <c:w val="0.8571443384391764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 Per - O-C Diagr.</a:t>
            </a:r>
          </a:p>
        </c:rich>
      </c:tx>
      <c:layout>
        <c:manualLayout>
          <c:xMode val="edge"/>
          <c:yMode val="edge"/>
          <c:x val="0.3556341724890022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4723926380368099"/>
          <c:w val="0.8010570266569124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43-475F-8C53-33E9741F12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4.6654899997520261E-2</c:v>
                </c:pt>
                <c:pt idx="2">
                  <c:v>6.496540000080131E-2</c:v>
                </c:pt>
                <c:pt idx="3">
                  <c:v>7.0815499995660502E-2</c:v>
                </c:pt>
                <c:pt idx="4">
                  <c:v>8.2970000003115274E-2</c:v>
                </c:pt>
                <c:pt idx="5">
                  <c:v>9.3987950000155251E-2</c:v>
                </c:pt>
                <c:pt idx="6">
                  <c:v>0.12725905000115745</c:v>
                </c:pt>
                <c:pt idx="7">
                  <c:v>0.13401495000289287</c:v>
                </c:pt>
                <c:pt idx="8">
                  <c:v>0.14412904999335296</c:v>
                </c:pt>
                <c:pt idx="9">
                  <c:v>0.15415619999839691</c:v>
                </c:pt>
                <c:pt idx="10">
                  <c:v>0.15551674999733223</c:v>
                </c:pt>
                <c:pt idx="11">
                  <c:v>0.15673080000124173</c:v>
                </c:pt>
                <c:pt idx="12">
                  <c:v>0.15592530000139959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43-475F-8C53-33E9741F12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43-475F-8C53-33E9741F12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43-475F-8C53-33E9741F12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43-475F-8C53-33E9741F12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43-475F-8C53-33E9741F12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2.5000000000000001E-3</c:v>
                  </c:pt>
                  <c:pt idx="4">
                    <c:v>3.3E-3</c:v>
                  </c:pt>
                  <c:pt idx="5">
                    <c:v>2.5999999999999999E-3</c:v>
                  </c:pt>
                  <c:pt idx="7">
                    <c:v>2.5000000000000001E-3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43-475F-8C53-33E9741F12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8021</c:v>
                </c:pt>
                <c:pt idx="2">
                  <c:v>8566</c:v>
                </c:pt>
                <c:pt idx="3">
                  <c:v>8995</c:v>
                </c:pt>
                <c:pt idx="4">
                  <c:v>9500</c:v>
                </c:pt>
                <c:pt idx="5">
                  <c:v>10555.5</c:v>
                </c:pt>
                <c:pt idx="6">
                  <c:v>11074.5</c:v>
                </c:pt>
                <c:pt idx="7">
                  <c:v>11385.5</c:v>
                </c:pt>
                <c:pt idx="8">
                  <c:v>11574.5</c:v>
                </c:pt>
                <c:pt idx="9">
                  <c:v>12098</c:v>
                </c:pt>
                <c:pt idx="10">
                  <c:v>12107.5</c:v>
                </c:pt>
                <c:pt idx="11">
                  <c:v>12132</c:v>
                </c:pt>
                <c:pt idx="12">
                  <c:v>12137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">
                  <c:v>4.4743985135789976E-2</c:v>
                </c:pt>
                <c:pt idx="2">
                  <c:v>5.9271816751213707E-2</c:v>
                </c:pt>
                <c:pt idx="3">
                  <c:v>7.0707486041152789E-2</c:v>
                </c:pt>
                <c:pt idx="4">
                  <c:v>8.4169054785719732E-2</c:v>
                </c:pt>
                <c:pt idx="5">
                  <c:v>0.11230506629045328</c:v>
                </c:pt>
                <c:pt idx="6">
                  <c:v>0.12613982703982013</c:v>
                </c:pt>
                <c:pt idx="7">
                  <c:v>0.13443002086073164</c:v>
                </c:pt>
                <c:pt idx="8">
                  <c:v>0.13946811292553002</c:v>
                </c:pt>
                <c:pt idx="9">
                  <c:v>0.15342282824786824</c:v>
                </c:pt>
                <c:pt idx="10">
                  <c:v>0.15367606567969672</c:v>
                </c:pt>
                <c:pt idx="11">
                  <c:v>0.15432915168809647</c:v>
                </c:pt>
                <c:pt idx="12">
                  <c:v>0.15446243454695358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43-475F-8C53-33E9741F1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961224"/>
        <c:axId val="1"/>
      </c:scatterChart>
      <c:valAx>
        <c:axId val="876961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2713023548107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690140845070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961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23962145576872"/>
          <c:y val="0.92024539877300615"/>
          <c:w val="0.8556345421611030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9525</xdr:rowOff>
    </xdr:from>
    <xdr:to>
      <xdr:col>17</xdr:col>
      <xdr:colOff>314325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80D8C1-D311-4E9E-C64D-8F6655B7C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371475</xdr:colOff>
      <xdr:row>18</xdr:row>
      <xdr:rowOff>57149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8CA8500-1328-5D9D-05EB-EC3007880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5871" TargetMode="External"/><Relationship Id="rId10" Type="http://schemas.openxmlformats.org/officeDocument/2006/relationships/hyperlink" Target="http://www.konkoly.hu/cgi-bin/IBVS?6114" TargetMode="External"/><Relationship Id="rId4" Type="http://schemas.openxmlformats.org/officeDocument/2006/relationships/hyperlink" Target="http://www.bav-astro.de/sfs/BAVM_link.php?BAVMnr=193" TargetMode="External"/><Relationship Id="rId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56</v>
      </c>
    </row>
    <row r="2" spans="1:7" s="30" customFormat="1" ht="12.95" customHeight="1" x14ac:dyDescent="0.2">
      <c r="A2" s="30" t="s">
        <v>24</v>
      </c>
      <c r="B2" s="31" t="s">
        <v>37</v>
      </c>
      <c r="C2" s="32" t="s">
        <v>38</v>
      </c>
    </row>
    <row r="3" spans="1:7" s="30" customFormat="1" ht="12.95" customHeight="1" thickBot="1" x14ac:dyDescent="0.25">
      <c r="C3" s="33" t="s">
        <v>39</v>
      </c>
    </row>
    <row r="4" spans="1:7" s="30" customFormat="1" ht="12.95" customHeight="1" thickTop="1" thickBot="1" x14ac:dyDescent="0.25">
      <c r="A4" s="34" t="s">
        <v>0</v>
      </c>
      <c r="C4" s="35">
        <v>38642.608</v>
      </c>
      <c r="D4" s="36">
        <v>1.4219831000000001</v>
      </c>
    </row>
    <row r="5" spans="1:7" s="30" customFormat="1" ht="12.95" customHeight="1" x14ac:dyDescent="0.2"/>
    <row r="6" spans="1:7" s="30" customFormat="1" ht="12.95" customHeight="1" x14ac:dyDescent="0.2">
      <c r="A6" s="34" t="s">
        <v>1</v>
      </c>
    </row>
    <row r="7" spans="1:7" s="30" customFormat="1" ht="12.95" customHeight="1" x14ac:dyDescent="0.2">
      <c r="A7" s="30" t="s">
        <v>2</v>
      </c>
      <c r="C7" s="30">
        <f>+C4</f>
        <v>38642.608</v>
      </c>
    </row>
    <row r="8" spans="1:7" s="30" customFormat="1" ht="12.95" customHeight="1" x14ac:dyDescent="0.2">
      <c r="A8" s="30" t="s">
        <v>3</v>
      </c>
      <c r="C8" s="30">
        <f>+D4</f>
        <v>1.4219831000000001</v>
      </c>
    </row>
    <row r="9" spans="1:7" s="30" customFormat="1" ht="12.95" customHeight="1" x14ac:dyDescent="0.2">
      <c r="A9" s="37" t="s">
        <v>40</v>
      </c>
      <c r="C9" s="38">
        <v>-9.5</v>
      </c>
      <c r="D9" s="30" t="s">
        <v>41</v>
      </c>
    </row>
    <row r="10" spans="1:7" s="30" customFormat="1" ht="12.95" customHeight="1" thickBot="1" x14ac:dyDescent="0.25">
      <c r="C10" s="39" t="s">
        <v>20</v>
      </c>
      <c r="D10" s="39" t="s">
        <v>21</v>
      </c>
    </row>
    <row r="11" spans="1:7" s="30" customFormat="1" ht="12.95" customHeight="1" x14ac:dyDescent="0.2">
      <c r="A11" s="30" t="s">
        <v>16</v>
      </c>
      <c r="C11" s="40">
        <f ca="1">INTERCEPT(INDIRECT($G$11):G991,INDIRECT($F$11):F991)</f>
        <v>-0.16906837704276773</v>
      </c>
      <c r="D11" s="41"/>
      <c r="F11" s="42" t="str">
        <f>"F"&amp;E19</f>
        <v>F21</v>
      </c>
      <c r="G11" s="40" t="str">
        <f>"G"&amp;E19</f>
        <v>G21</v>
      </c>
    </row>
    <row r="12" spans="1:7" s="30" customFormat="1" ht="12.95" customHeight="1" x14ac:dyDescent="0.2">
      <c r="A12" s="30" t="s">
        <v>17</v>
      </c>
      <c r="C12" s="40">
        <f ca="1">SLOPE(INDIRECT($G$11):G991,INDIRECT($F$11):F991)</f>
        <v>2.6656571771419735E-5</v>
      </c>
      <c r="D12" s="41"/>
    </row>
    <row r="13" spans="1:7" s="30" customFormat="1" ht="12.95" customHeight="1" x14ac:dyDescent="0.2">
      <c r="A13" s="30" t="s">
        <v>19</v>
      </c>
      <c r="C13" s="41" t="s">
        <v>14</v>
      </c>
      <c r="D13" s="43" t="s">
        <v>51</v>
      </c>
      <c r="E13" s="38">
        <v>1</v>
      </c>
    </row>
    <row r="14" spans="1:7" s="30" customFormat="1" ht="12.95" customHeight="1" x14ac:dyDescent="0.2">
      <c r="D14" s="43" t="s">
        <v>42</v>
      </c>
      <c r="E14" s="44">
        <f ca="1">NOW()+15018.5+$C$9/24</f>
        <v>60372.792964351851</v>
      </c>
    </row>
    <row r="15" spans="1:7" s="30" customFormat="1" ht="12.95" customHeight="1" x14ac:dyDescent="0.2">
      <c r="A15" s="45" t="s">
        <v>18</v>
      </c>
      <c r="C15" s="46">
        <f ca="1">(C7+C11)+(C8+C12)*INT(MAX(F21:F3532))</f>
        <v>55901.371347134547</v>
      </c>
      <c r="D15" s="43" t="s">
        <v>52</v>
      </c>
      <c r="E15" s="44">
        <f ca="1">ROUND(2*(E14-$C$7)/$C$8,0)/2+E13</f>
        <v>15282.5</v>
      </c>
    </row>
    <row r="16" spans="1:7" s="30" customFormat="1" ht="12.95" customHeight="1" x14ac:dyDescent="0.2">
      <c r="A16" s="34" t="s">
        <v>4</v>
      </c>
      <c r="C16" s="47">
        <f ca="1">+C8+C12</f>
        <v>1.4220097565717715</v>
      </c>
      <c r="D16" s="43" t="s">
        <v>43</v>
      </c>
      <c r="E16" s="40">
        <f ca="1">ROUND(2*(E14-$C$15)/$C$16,0)/2+E13</f>
        <v>3145.5</v>
      </c>
    </row>
    <row r="17" spans="1:32" s="30" customFormat="1" ht="12.95" customHeight="1" thickBot="1" x14ac:dyDescent="0.25">
      <c r="A17" s="43" t="s">
        <v>35</v>
      </c>
      <c r="C17" s="30">
        <f>COUNT(C21:C2190)</f>
        <v>13</v>
      </c>
      <c r="D17" s="43" t="s">
        <v>44</v>
      </c>
      <c r="E17" s="48">
        <f ca="1">+$C$15+$C$16*E16-15018.5-$C$9/24</f>
        <v>45356.19886976439</v>
      </c>
    </row>
    <row r="18" spans="1:32" s="30" customFormat="1" ht="12.95" customHeight="1" thickTop="1" thickBot="1" x14ac:dyDescent="0.25">
      <c r="A18" s="34" t="s">
        <v>5</v>
      </c>
      <c r="C18" s="35">
        <f ca="1">+C15</f>
        <v>55901.371347134547</v>
      </c>
      <c r="D18" s="36">
        <f ca="1">+C16</f>
        <v>1.4220097565717715</v>
      </c>
      <c r="E18" s="49" t="s">
        <v>45</v>
      </c>
    </row>
    <row r="19" spans="1:32" s="30" customFormat="1" ht="12.95" customHeight="1" thickTop="1" x14ac:dyDescent="0.2">
      <c r="A19" s="50" t="s">
        <v>48</v>
      </c>
      <c r="E19" s="51">
        <v>21</v>
      </c>
    </row>
    <row r="20" spans="1:32" s="30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52" t="s">
        <v>12</v>
      </c>
      <c r="I20" s="52" t="s">
        <v>59</v>
      </c>
      <c r="J20" s="52" t="s">
        <v>34</v>
      </c>
      <c r="K20" s="52" t="s">
        <v>50</v>
      </c>
      <c r="L20" s="52" t="s">
        <v>25</v>
      </c>
      <c r="M20" s="52" t="s">
        <v>26</v>
      </c>
      <c r="N20" s="52" t="s">
        <v>27</v>
      </c>
      <c r="O20" s="52" t="s">
        <v>23</v>
      </c>
      <c r="P20" s="53" t="s">
        <v>22</v>
      </c>
      <c r="Q20" s="39" t="s">
        <v>15</v>
      </c>
    </row>
    <row r="21" spans="1:32" s="30" customFormat="1" ht="12.95" customHeight="1" x14ac:dyDescent="0.2">
      <c r="A21" s="30" t="s">
        <v>12</v>
      </c>
      <c r="C21" s="54">
        <v>38642.608</v>
      </c>
      <c r="D21" s="54" t="s">
        <v>14</v>
      </c>
      <c r="E21" s="30">
        <f t="shared" ref="E21:E33" si="0">+(C21-C$7)/C$8</f>
        <v>0</v>
      </c>
      <c r="F21" s="30">
        <f t="shared" ref="F21:F33" si="1">ROUND(2*E21,0)/2</f>
        <v>0</v>
      </c>
      <c r="H21" s="40">
        <v>0</v>
      </c>
      <c r="Q21" s="55">
        <f t="shared" ref="Q21:Q33" si="2">+C21-15018.5</f>
        <v>23624.108</v>
      </c>
    </row>
    <row r="22" spans="1:32" s="30" customFormat="1" ht="12.95" customHeight="1" x14ac:dyDescent="0.2">
      <c r="A22" s="30" t="s">
        <v>31</v>
      </c>
      <c r="C22" s="54">
        <v>50048.381099999999</v>
      </c>
      <c r="D22" s="54">
        <v>2.0000000000000001E-4</v>
      </c>
      <c r="E22" s="30">
        <f t="shared" si="0"/>
        <v>8021.0328097429556</v>
      </c>
      <c r="F22" s="30">
        <f t="shared" si="1"/>
        <v>8021</v>
      </c>
      <c r="G22" s="30">
        <f t="shared" ref="G22:G33" si="3">+C22-(C$7+F22*C$8)</f>
        <v>4.6654899997520261E-2</v>
      </c>
      <c r="I22" s="30">
        <f>+G22</f>
        <v>4.6654899997520261E-2</v>
      </c>
      <c r="O22" s="30">
        <f t="shared" ref="O22:O33" ca="1" si="4">+C$11+C$12*$F22</f>
        <v>4.4743985135789976E-2</v>
      </c>
      <c r="Q22" s="55">
        <f t="shared" si="2"/>
        <v>35029.881099999999</v>
      </c>
      <c r="AB22" s="30">
        <v>18</v>
      </c>
      <c r="AD22" s="30" t="s">
        <v>30</v>
      </c>
      <c r="AF22" s="30" t="s">
        <v>32</v>
      </c>
    </row>
    <row r="23" spans="1:32" s="30" customFormat="1" ht="12.95" customHeight="1" x14ac:dyDescent="0.2">
      <c r="A23" s="30" t="s">
        <v>33</v>
      </c>
      <c r="C23" s="54">
        <v>50823.3802</v>
      </c>
      <c r="D23" s="54">
        <v>6.9999999999999999E-4</v>
      </c>
      <c r="E23" s="30">
        <f t="shared" si="0"/>
        <v>8566.04568647827</v>
      </c>
      <c r="F23" s="30">
        <f t="shared" si="1"/>
        <v>8566</v>
      </c>
      <c r="G23" s="30">
        <f t="shared" si="3"/>
        <v>6.496540000080131E-2</v>
      </c>
      <c r="I23" s="30">
        <f>+G23</f>
        <v>6.496540000080131E-2</v>
      </c>
      <c r="O23" s="30">
        <f t="shared" ca="1" si="4"/>
        <v>5.9271816751213707E-2</v>
      </c>
      <c r="Q23" s="55">
        <f t="shared" si="2"/>
        <v>35804.8802</v>
      </c>
      <c r="AB23" s="30">
        <v>13</v>
      </c>
      <c r="AD23" s="30" t="s">
        <v>30</v>
      </c>
      <c r="AF23" s="30" t="s">
        <v>32</v>
      </c>
    </row>
    <row r="24" spans="1:32" s="30" customFormat="1" ht="12.95" customHeight="1" x14ac:dyDescent="0.2">
      <c r="A24" s="30" t="s">
        <v>29</v>
      </c>
      <c r="B24" s="56" t="s">
        <v>28</v>
      </c>
      <c r="C24" s="54">
        <v>51433.416799999999</v>
      </c>
      <c r="D24" s="54">
        <v>2.5000000000000001E-3</v>
      </c>
      <c r="E24" s="30">
        <f t="shared" si="0"/>
        <v>8995.0498005215377</v>
      </c>
      <c r="F24" s="30">
        <f t="shared" si="1"/>
        <v>8995</v>
      </c>
      <c r="G24" s="30">
        <f t="shared" si="3"/>
        <v>7.0815499995660502E-2</v>
      </c>
      <c r="I24" s="30">
        <f>+G24</f>
        <v>7.0815499995660502E-2</v>
      </c>
      <c r="O24" s="30">
        <f t="shared" ca="1" si="4"/>
        <v>7.0707486041152789E-2</v>
      </c>
      <c r="Q24" s="55">
        <f t="shared" si="2"/>
        <v>36414.916799999999</v>
      </c>
    </row>
    <row r="25" spans="1:32" s="30" customFormat="1" ht="12.95" customHeight="1" x14ac:dyDescent="0.2">
      <c r="A25" s="57" t="s">
        <v>49</v>
      </c>
      <c r="B25" s="58" t="s">
        <v>28</v>
      </c>
      <c r="C25" s="57">
        <v>52151.530420000003</v>
      </c>
      <c r="D25" s="57">
        <v>3.3E-3</v>
      </c>
      <c r="E25" s="30">
        <f t="shared" si="0"/>
        <v>9500.0583480914811</v>
      </c>
      <c r="F25" s="30">
        <f t="shared" si="1"/>
        <v>9500</v>
      </c>
      <c r="G25" s="30">
        <f t="shared" si="3"/>
        <v>8.2970000003115274E-2</v>
      </c>
      <c r="I25" s="30">
        <f>+G25</f>
        <v>8.2970000003115274E-2</v>
      </c>
      <c r="O25" s="30">
        <f t="shared" ca="1" si="4"/>
        <v>8.4169054785719732E-2</v>
      </c>
      <c r="Q25" s="55">
        <f t="shared" si="2"/>
        <v>37133.030420000003</v>
      </c>
    </row>
    <row r="26" spans="1:32" s="30" customFormat="1" ht="12.95" customHeight="1" x14ac:dyDescent="0.2">
      <c r="A26" s="59" t="s">
        <v>36</v>
      </c>
      <c r="B26" s="60"/>
      <c r="C26" s="10">
        <v>53652.444600000003</v>
      </c>
      <c r="D26" s="10">
        <v>2.5999999999999999E-3</v>
      </c>
      <c r="E26" s="59">
        <f t="shared" si="0"/>
        <v>10555.566096390317</v>
      </c>
      <c r="F26" s="30">
        <f t="shared" si="1"/>
        <v>10555.5</v>
      </c>
      <c r="G26" s="30">
        <f t="shared" si="3"/>
        <v>9.3987950000155251E-2</v>
      </c>
      <c r="I26" s="30">
        <f>+G26</f>
        <v>9.3987950000155251E-2</v>
      </c>
      <c r="O26" s="30">
        <f t="shared" ca="1" si="4"/>
        <v>0.11230506629045328</v>
      </c>
      <c r="Q26" s="55">
        <f t="shared" si="2"/>
        <v>38633.944600000003</v>
      </c>
    </row>
    <row r="27" spans="1:32" s="30" customFormat="1" ht="12.95" customHeight="1" x14ac:dyDescent="0.2">
      <c r="A27" s="61" t="s">
        <v>102</v>
      </c>
      <c r="B27" s="62" t="s">
        <v>47</v>
      </c>
      <c r="C27" s="63">
        <v>54390.487099999998</v>
      </c>
      <c r="D27" s="64"/>
      <c r="E27" s="59">
        <f t="shared" si="0"/>
        <v>11074.589494066418</v>
      </c>
      <c r="F27" s="30">
        <f t="shared" si="1"/>
        <v>11074.5</v>
      </c>
      <c r="G27" s="30">
        <f t="shared" si="3"/>
        <v>0.12725905000115745</v>
      </c>
      <c r="I27" s="30">
        <f>+G27</f>
        <v>0.12725905000115745</v>
      </c>
      <c r="O27" s="30">
        <f t="shared" ca="1" si="4"/>
        <v>0.12613982703982013</v>
      </c>
      <c r="Q27" s="55">
        <f t="shared" si="2"/>
        <v>39371.987099999998</v>
      </c>
    </row>
    <row r="28" spans="1:32" s="30" customFormat="1" ht="12.95" customHeight="1" x14ac:dyDescent="0.2">
      <c r="A28" s="10" t="s">
        <v>46</v>
      </c>
      <c r="B28" s="11" t="s">
        <v>47</v>
      </c>
      <c r="C28" s="10">
        <v>54832.730600000003</v>
      </c>
      <c r="D28" s="10">
        <v>2.5000000000000001E-3</v>
      </c>
      <c r="E28" s="59">
        <f t="shared" si="0"/>
        <v>11385.594245107415</v>
      </c>
      <c r="F28" s="30">
        <f t="shared" si="1"/>
        <v>11385.5</v>
      </c>
      <c r="G28" s="30">
        <f t="shared" si="3"/>
        <v>0.13401495000289287</v>
      </c>
      <c r="I28" s="30">
        <f>+G28</f>
        <v>0.13401495000289287</v>
      </c>
      <c r="O28" s="30">
        <f t="shared" ca="1" si="4"/>
        <v>0.13443002086073164</v>
      </c>
      <c r="Q28" s="55">
        <f t="shared" si="2"/>
        <v>39814.230600000003</v>
      </c>
    </row>
    <row r="29" spans="1:32" x14ac:dyDescent="0.2">
      <c r="A29" s="6" t="s">
        <v>53</v>
      </c>
      <c r="B29" s="9" t="s">
        <v>47</v>
      </c>
      <c r="C29" s="7">
        <v>55101.495519999997</v>
      </c>
      <c r="D29" s="7">
        <v>2.9999999999999997E-4</v>
      </c>
      <c r="E29" s="8">
        <f t="shared" si="0"/>
        <v>11574.601357779848</v>
      </c>
      <c r="F29">
        <f t="shared" si="1"/>
        <v>11574.5</v>
      </c>
      <c r="G29">
        <f t="shared" si="3"/>
        <v>0.14412904999335296</v>
      </c>
      <c r="I29">
        <f>+G29</f>
        <v>0.14412904999335296</v>
      </c>
      <c r="O29">
        <f t="shared" ca="1" si="4"/>
        <v>0.13946811292553002</v>
      </c>
      <c r="Q29" s="2">
        <f t="shared" si="2"/>
        <v>40082.995519999997</v>
      </c>
    </row>
    <row r="30" spans="1:32" x14ac:dyDescent="0.2">
      <c r="A30" s="10" t="s">
        <v>54</v>
      </c>
      <c r="B30" s="11" t="s">
        <v>28</v>
      </c>
      <c r="C30" s="10">
        <v>55845.913699999997</v>
      </c>
      <c r="D30" s="10">
        <v>2.9999999999999997E-4</v>
      </c>
      <c r="E30" s="8">
        <f t="shared" si="0"/>
        <v>12098.108409305283</v>
      </c>
      <c r="F30">
        <f t="shared" si="1"/>
        <v>12098</v>
      </c>
      <c r="G30">
        <f t="shared" si="3"/>
        <v>0.15415619999839691</v>
      </c>
      <c r="I30">
        <f>+G30</f>
        <v>0.15415619999839691</v>
      </c>
      <c r="O30">
        <f t="shared" ca="1" si="4"/>
        <v>0.15342282824786824</v>
      </c>
      <c r="Q30" s="2">
        <f t="shared" si="2"/>
        <v>40827.413699999997</v>
      </c>
    </row>
    <row r="31" spans="1:32" x14ac:dyDescent="0.2">
      <c r="A31" s="27" t="s">
        <v>123</v>
      </c>
      <c r="B31" s="29" t="s">
        <v>47</v>
      </c>
      <c r="C31" s="28">
        <v>55859.423900000002</v>
      </c>
      <c r="D31" s="4"/>
      <c r="E31" s="8">
        <f t="shared" si="0"/>
        <v>12107.609366102875</v>
      </c>
      <c r="F31">
        <f t="shared" si="1"/>
        <v>12107.5</v>
      </c>
      <c r="G31">
        <f t="shared" si="3"/>
        <v>0.15551674999733223</v>
      </c>
      <c r="I31">
        <f>+G31</f>
        <v>0.15551674999733223</v>
      </c>
      <c r="O31">
        <f t="shared" ca="1" si="4"/>
        <v>0.15367606567969672</v>
      </c>
      <c r="Q31" s="2">
        <f t="shared" si="2"/>
        <v>40840.923900000002</v>
      </c>
    </row>
    <row r="32" spans="1:32" x14ac:dyDescent="0.2">
      <c r="A32" s="27" t="s">
        <v>123</v>
      </c>
      <c r="B32" s="29" t="s">
        <v>28</v>
      </c>
      <c r="C32" s="28">
        <v>55894.263700000003</v>
      </c>
      <c r="D32" s="4"/>
      <c r="E32" s="8">
        <f t="shared" si="0"/>
        <v>12132.110219875329</v>
      </c>
      <c r="F32">
        <f t="shared" si="1"/>
        <v>12132</v>
      </c>
      <c r="G32">
        <f t="shared" si="3"/>
        <v>0.15673080000124173</v>
      </c>
      <c r="I32">
        <f>+G32</f>
        <v>0.15673080000124173</v>
      </c>
      <c r="O32">
        <f t="shared" ca="1" si="4"/>
        <v>0.15432915168809647</v>
      </c>
      <c r="Q32" s="2">
        <f t="shared" si="2"/>
        <v>40875.763700000003</v>
      </c>
    </row>
    <row r="33" spans="1:17" x14ac:dyDescent="0.2">
      <c r="A33" s="12" t="s">
        <v>55</v>
      </c>
      <c r="B33" s="13" t="s">
        <v>28</v>
      </c>
      <c r="C33" s="12">
        <v>55901.372810000001</v>
      </c>
      <c r="D33" s="12">
        <v>1.1E-4</v>
      </c>
      <c r="E33" s="8">
        <f t="shared" si="0"/>
        <v>12137.109653412899</v>
      </c>
      <c r="F33">
        <f t="shared" si="1"/>
        <v>12137</v>
      </c>
      <c r="G33">
        <f t="shared" si="3"/>
        <v>0.15592530000139959</v>
      </c>
      <c r="I33">
        <f>+G33</f>
        <v>0.15592530000139959</v>
      </c>
      <c r="O33">
        <f t="shared" ca="1" si="4"/>
        <v>0.15446243454695358</v>
      </c>
      <c r="Q33" s="2">
        <f t="shared" si="2"/>
        <v>40882.872810000001</v>
      </c>
    </row>
    <row r="34" spans="1:17" x14ac:dyDescent="0.2">
      <c r="C34" s="4"/>
      <c r="D34" s="4"/>
    </row>
    <row r="35" spans="1:17" x14ac:dyDescent="0.2">
      <c r="C35" s="4"/>
      <c r="D35" s="4"/>
    </row>
    <row r="36" spans="1:17" x14ac:dyDescent="0.2">
      <c r="C36" s="4"/>
      <c r="D36" s="4"/>
    </row>
    <row r="37" spans="1:17" x14ac:dyDescent="0.2">
      <c r="C37" s="4"/>
      <c r="D37" s="4"/>
    </row>
    <row r="38" spans="1:17" x14ac:dyDescent="0.2">
      <c r="C38" s="4"/>
      <c r="D38" s="4"/>
    </row>
    <row r="39" spans="1:17" x14ac:dyDescent="0.2">
      <c r="C39" s="4"/>
      <c r="D39" s="4"/>
    </row>
    <row r="40" spans="1:17" x14ac:dyDescent="0.2">
      <c r="C40" s="4"/>
      <c r="D40" s="4"/>
    </row>
    <row r="41" spans="1:17" x14ac:dyDescent="0.2">
      <c r="C41" s="4"/>
      <c r="D41" s="4"/>
    </row>
    <row r="42" spans="1:17" x14ac:dyDescent="0.2">
      <c r="C42" s="4"/>
      <c r="D42" s="4"/>
    </row>
    <row r="43" spans="1:17" x14ac:dyDescent="0.2">
      <c r="C43" s="4"/>
      <c r="D43" s="4"/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2"/>
  <sheetViews>
    <sheetView workbookViewId="0">
      <selection activeCell="A19" sqref="A19:C22"/>
    </sheetView>
  </sheetViews>
  <sheetFormatPr defaultRowHeight="12.75" x14ac:dyDescent="0.2"/>
  <cols>
    <col min="1" max="1" width="19.7109375" style="4" customWidth="1"/>
    <col min="2" max="2" width="4.42578125" style="3" customWidth="1"/>
    <col min="3" max="3" width="12.7109375" style="4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4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4" t="s">
        <v>57</v>
      </c>
      <c r="I1" s="15" t="s">
        <v>58</v>
      </c>
      <c r="J1" s="16" t="s">
        <v>59</v>
      </c>
    </row>
    <row r="2" spans="1:16" x14ac:dyDescent="0.2">
      <c r="I2" s="17" t="s">
        <v>60</v>
      </c>
      <c r="J2" s="18" t="s">
        <v>61</v>
      </c>
    </row>
    <row r="3" spans="1:16" x14ac:dyDescent="0.2">
      <c r="A3" s="19" t="s">
        <v>62</v>
      </c>
      <c r="I3" s="17" t="s">
        <v>63</v>
      </c>
      <c r="J3" s="18" t="s">
        <v>64</v>
      </c>
    </row>
    <row r="4" spans="1:16" x14ac:dyDescent="0.2">
      <c r="I4" s="17" t="s">
        <v>65</v>
      </c>
      <c r="J4" s="18" t="s">
        <v>64</v>
      </c>
    </row>
    <row r="5" spans="1:16" ht="13.5" thickBot="1" x14ac:dyDescent="0.25">
      <c r="I5" s="20" t="s">
        <v>66</v>
      </c>
      <c r="J5" s="21" t="s">
        <v>67</v>
      </c>
    </row>
    <row r="10" spans="1:16" ht="13.5" thickBot="1" x14ac:dyDescent="0.25"/>
    <row r="11" spans="1:16" ht="12.75" customHeight="1" thickBot="1" x14ac:dyDescent="0.25">
      <c r="A11" s="4" t="str">
        <f t="shared" ref="A11:A22" si="0">P11</f>
        <v> BBS 111 </v>
      </c>
      <c r="B11" s="5" t="str">
        <f t="shared" ref="B11:B22" si="1">IF(H11=INT(H11),"I","II")</f>
        <v>I</v>
      </c>
      <c r="C11" s="4">
        <f t="shared" ref="C11:C22" si="2">1*G11</f>
        <v>50048.381099999999</v>
      </c>
      <c r="D11" s="3" t="str">
        <f t="shared" ref="D11:D22" si="3">VLOOKUP(F11,I$1:J$5,2,FALSE)</f>
        <v>vis</v>
      </c>
      <c r="E11" s="22">
        <f>VLOOKUP(C11,Active!C$21:E$972,3,FALSE)</f>
        <v>8021.0328097429556</v>
      </c>
      <c r="F11" s="5" t="s">
        <v>66</v>
      </c>
      <c r="G11" s="3" t="str">
        <f t="shared" ref="G11:G22" si="4">MID(I11,3,LEN(I11)-3)</f>
        <v>50048.3811</v>
      </c>
      <c r="H11" s="4">
        <f t="shared" ref="H11:H22" si="5">1*K11</f>
        <v>8021</v>
      </c>
      <c r="I11" s="23" t="s">
        <v>68</v>
      </c>
      <c r="J11" s="24" t="s">
        <v>69</v>
      </c>
      <c r="K11" s="23">
        <v>8021</v>
      </c>
      <c r="L11" s="23" t="s">
        <v>70</v>
      </c>
      <c r="M11" s="24" t="s">
        <v>71</v>
      </c>
      <c r="N11" s="24" t="s">
        <v>72</v>
      </c>
      <c r="O11" s="25" t="s">
        <v>73</v>
      </c>
      <c r="P11" s="25" t="s">
        <v>74</v>
      </c>
    </row>
    <row r="12" spans="1:16" ht="12.75" customHeight="1" thickBot="1" x14ac:dyDescent="0.25">
      <c r="A12" s="4" t="str">
        <f t="shared" si="0"/>
        <v> BBS 117 </v>
      </c>
      <c r="B12" s="5" t="str">
        <f t="shared" si="1"/>
        <v>I</v>
      </c>
      <c r="C12" s="4">
        <f t="shared" si="2"/>
        <v>50823.3802</v>
      </c>
      <c r="D12" s="3" t="str">
        <f t="shared" si="3"/>
        <v>vis</v>
      </c>
      <c r="E12" s="22">
        <f>VLOOKUP(C12,Active!C$21:E$972,3,FALSE)</f>
        <v>8566.04568647827</v>
      </c>
      <c r="F12" s="5" t="s">
        <v>66</v>
      </c>
      <c r="G12" s="3" t="str">
        <f t="shared" si="4"/>
        <v>50823.3802</v>
      </c>
      <c r="H12" s="4">
        <f t="shared" si="5"/>
        <v>8566</v>
      </c>
      <c r="I12" s="23" t="s">
        <v>75</v>
      </c>
      <c r="J12" s="24" t="s">
        <v>76</v>
      </c>
      <c r="K12" s="23">
        <v>8566</v>
      </c>
      <c r="L12" s="23" t="s">
        <v>77</v>
      </c>
      <c r="M12" s="24" t="s">
        <v>71</v>
      </c>
      <c r="N12" s="24" t="s">
        <v>72</v>
      </c>
      <c r="O12" s="25" t="s">
        <v>73</v>
      </c>
      <c r="P12" s="25" t="s">
        <v>78</v>
      </c>
    </row>
    <row r="13" spans="1:16" ht="12.75" customHeight="1" thickBot="1" x14ac:dyDescent="0.25">
      <c r="A13" s="4" t="str">
        <f t="shared" si="0"/>
        <v>IBVS 5263 </v>
      </c>
      <c r="B13" s="5" t="str">
        <f t="shared" si="1"/>
        <v>I</v>
      </c>
      <c r="C13" s="4">
        <f t="shared" si="2"/>
        <v>51433.416799999999</v>
      </c>
      <c r="D13" s="3" t="str">
        <f t="shared" si="3"/>
        <v>vis</v>
      </c>
      <c r="E13" s="22">
        <f>VLOOKUP(C13,Active!C$21:E$972,3,FALSE)</f>
        <v>8995.0498005215377</v>
      </c>
      <c r="F13" s="5" t="s">
        <v>66</v>
      </c>
      <c r="G13" s="3" t="str">
        <f t="shared" si="4"/>
        <v>51433.4168</v>
      </c>
      <c r="H13" s="4">
        <f t="shared" si="5"/>
        <v>8995</v>
      </c>
      <c r="I13" s="23" t="s">
        <v>79</v>
      </c>
      <c r="J13" s="24" t="s">
        <v>80</v>
      </c>
      <c r="K13" s="23">
        <v>8995</v>
      </c>
      <c r="L13" s="23" t="s">
        <v>81</v>
      </c>
      <c r="M13" s="24" t="s">
        <v>71</v>
      </c>
      <c r="N13" s="24" t="s">
        <v>72</v>
      </c>
      <c r="O13" s="25" t="s">
        <v>82</v>
      </c>
      <c r="P13" s="26" t="s">
        <v>83</v>
      </c>
    </row>
    <row r="14" spans="1:16" ht="12.75" customHeight="1" thickBot="1" x14ac:dyDescent="0.25">
      <c r="A14" s="4" t="str">
        <f t="shared" si="0"/>
        <v>OEJV 0074 </v>
      </c>
      <c r="B14" s="5" t="str">
        <f t="shared" si="1"/>
        <v>I</v>
      </c>
      <c r="C14" s="4">
        <f t="shared" si="2"/>
        <v>52151.530420000003</v>
      </c>
      <c r="D14" s="3" t="str">
        <f t="shared" si="3"/>
        <v>vis</v>
      </c>
      <c r="E14" s="22">
        <f>VLOOKUP(C14,Active!C$21:E$972,3,FALSE)</f>
        <v>9500.0583480914811</v>
      </c>
      <c r="F14" s="5" t="s">
        <v>66</v>
      </c>
      <c r="G14" s="3" t="str">
        <f t="shared" si="4"/>
        <v>52151.53042</v>
      </c>
      <c r="H14" s="4">
        <f t="shared" si="5"/>
        <v>9500</v>
      </c>
      <c r="I14" s="23" t="s">
        <v>84</v>
      </c>
      <c r="J14" s="24" t="s">
        <v>85</v>
      </c>
      <c r="K14" s="23">
        <v>9500</v>
      </c>
      <c r="L14" s="23" t="s">
        <v>86</v>
      </c>
      <c r="M14" s="24" t="s">
        <v>87</v>
      </c>
      <c r="N14" s="24" t="s">
        <v>88</v>
      </c>
      <c r="O14" s="25" t="s">
        <v>89</v>
      </c>
      <c r="P14" s="26" t="s">
        <v>90</v>
      </c>
    </row>
    <row r="15" spans="1:16" ht="12.75" customHeight="1" thickBot="1" x14ac:dyDescent="0.25">
      <c r="A15" s="4" t="str">
        <f t="shared" si="0"/>
        <v>BAVM 178 </v>
      </c>
      <c r="B15" s="5" t="str">
        <f t="shared" si="1"/>
        <v>II</v>
      </c>
      <c r="C15" s="4">
        <f t="shared" si="2"/>
        <v>53652.444600000003</v>
      </c>
      <c r="D15" s="3" t="str">
        <f t="shared" si="3"/>
        <v>vis</v>
      </c>
      <c r="E15" s="22">
        <f>VLOOKUP(C15,Active!C$21:E$972,3,FALSE)</f>
        <v>10555.566096390317</v>
      </c>
      <c r="F15" s="5" t="s">
        <v>66</v>
      </c>
      <c r="G15" s="3" t="str">
        <f t="shared" si="4"/>
        <v>53652.4446</v>
      </c>
      <c r="H15" s="4">
        <f t="shared" si="5"/>
        <v>10555.5</v>
      </c>
      <c r="I15" s="23" t="s">
        <v>91</v>
      </c>
      <c r="J15" s="24" t="s">
        <v>92</v>
      </c>
      <c r="K15" s="23">
        <v>10555.5</v>
      </c>
      <c r="L15" s="23" t="s">
        <v>93</v>
      </c>
      <c r="M15" s="24" t="s">
        <v>87</v>
      </c>
      <c r="N15" s="24" t="s">
        <v>94</v>
      </c>
      <c r="O15" s="25" t="s">
        <v>95</v>
      </c>
      <c r="P15" s="26" t="s">
        <v>96</v>
      </c>
    </row>
    <row r="16" spans="1:16" ht="12.75" customHeight="1" thickBot="1" x14ac:dyDescent="0.25">
      <c r="A16" s="4" t="str">
        <f t="shared" si="0"/>
        <v>IBVS 5871 </v>
      </c>
      <c r="B16" s="5" t="str">
        <f t="shared" si="1"/>
        <v>II</v>
      </c>
      <c r="C16" s="4">
        <f t="shared" si="2"/>
        <v>54832.730600000003</v>
      </c>
      <c r="D16" s="3" t="str">
        <f t="shared" si="3"/>
        <v>vis</v>
      </c>
      <c r="E16" s="22">
        <f>VLOOKUP(C16,Active!C$21:E$972,3,FALSE)</f>
        <v>11385.594245107415</v>
      </c>
      <c r="F16" s="5" t="s">
        <v>66</v>
      </c>
      <c r="G16" s="3" t="str">
        <f t="shared" si="4"/>
        <v>54832.7306</v>
      </c>
      <c r="H16" s="4">
        <f t="shared" si="5"/>
        <v>11385.5</v>
      </c>
      <c r="I16" s="23" t="s">
        <v>103</v>
      </c>
      <c r="J16" s="24" t="s">
        <v>104</v>
      </c>
      <c r="K16" s="23" t="s">
        <v>105</v>
      </c>
      <c r="L16" s="23" t="s">
        <v>106</v>
      </c>
      <c r="M16" s="24" t="s">
        <v>87</v>
      </c>
      <c r="N16" s="24" t="s">
        <v>66</v>
      </c>
      <c r="O16" s="25" t="s">
        <v>73</v>
      </c>
      <c r="P16" s="26" t="s">
        <v>107</v>
      </c>
    </row>
    <row r="17" spans="1:16" ht="12.75" customHeight="1" thickBot="1" x14ac:dyDescent="0.25">
      <c r="A17" s="4" t="str">
        <f t="shared" si="0"/>
        <v>IBVS 6011 </v>
      </c>
      <c r="B17" s="5" t="str">
        <f t="shared" si="1"/>
        <v>I</v>
      </c>
      <c r="C17" s="4">
        <f t="shared" si="2"/>
        <v>55845.913699999997</v>
      </c>
      <c r="D17" s="3" t="str">
        <f t="shared" si="3"/>
        <v>vis</v>
      </c>
      <c r="E17" s="22">
        <f>VLOOKUP(C17,Active!C$21:E$972,3,FALSE)</f>
        <v>12098.108409305283</v>
      </c>
      <c r="F17" s="5" t="s">
        <v>66</v>
      </c>
      <c r="G17" s="3" t="str">
        <f t="shared" si="4"/>
        <v>55845.9137</v>
      </c>
      <c r="H17" s="4">
        <f t="shared" si="5"/>
        <v>12098</v>
      </c>
      <c r="I17" s="23" t="s">
        <v>114</v>
      </c>
      <c r="J17" s="24" t="s">
        <v>115</v>
      </c>
      <c r="K17" s="23" t="s">
        <v>116</v>
      </c>
      <c r="L17" s="23" t="s">
        <v>117</v>
      </c>
      <c r="M17" s="24" t="s">
        <v>87</v>
      </c>
      <c r="N17" s="24" t="s">
        <v>66</v>
      </c>
      <c r="O17" s="25" t="s">
        <v>73</v>
      </c>
      <c r="P17" s="26" t="s">
        <v>118</v>
      </c>
    </row>
    <row r="18" spans="1:16" ht="12.75" customHeight="1" thickBot="1" x14ac:dyDescent="0.25">
      <c r="A18" s="4" t="str">
        <f t="shared" si="0"/>
        <v>IBVS 6114 </v>
      </c>
      <c r="B18" s="5" t="str">
        <f t="shared" si="1"/>
        <v>I</v>
      </c>
      <c r="C18" s="4">
        <f t="shared" si="2"/>
        <v>55901.372810000001</v>
      </c>
      <c r="D18" s="3" t="str">
        <f t="shared" si="3"/>
        <v>vis</v>
      </c>
      <c r="E18" s="22">
        <f>VLOOKUP(C18,Active!C$21:E$972,3,FALSE)</f>
        <v>12137.109653412899</v>
      </c>
      <c r="F18" s="5" t="s">
        <v>66</v>
      </c>
      <c r="G18" s="3" t="str">
        <f t="shared" si="4"/>
        <v>55901.37281</v>
      </c>
      <c r="H18" s="4">
        <f t="shared" si="5"/>
        <v>12137</v>
      </c>
      <c r="I18" s="23" t="s">
        <v>128</v>
      </c>
      <c r="J18" s="24" t="s">
        <v>129</v>
      </c>
      <c r="K18" s="23" t="s">
        <v>130</v>
      </c>
      <c r="L18" s="23" t="s">
        <v>131</v>
      </c>
      <c r="M18" s="24" t="s">
        <v>87</v>
      </c>
      <c r="N18" s="24" t="s">
        <v>132</v>
      </c>
      <c r="O18" s="25" t="s">
        <v>133</v>
      </c>
      <c r="P18" s="26" t="s">
        <v>134</v>
      </c>
    </row>
    <row r="19" spans="1:16" ht="12.75" customHeight="1" thickBot="1" x14ac:dyDescent="0.25">
      <c r="A19" s="4" t="str">
        <f t="shared" si="0"/>
        <v>BAVM 193 </v>
      </c>
      <c r="B19" s="5" t="str">
        <f t="shared" si="1"/>
        <v>II</v>
      </c>
      <c r="C19" s="4">
        <f t="shared" si="2"/>
        <v>54390.487099999998</v>
      </c>
      <c r="D19" s="3" t="str">
        <f t="shared" si="3"/>
        <v>vis</v>
      </c>
      <c r="E19" s="22">
        <f>VLOOKUP(C19,Active!C$21:E$972,3,FALSE)</f>
        <v>11074.589494066418</v>
      </c>
      <c r="F19" s="5" t="s">
        <v>66</v>
      </c>
      <c r="G19" s="3" t="str">
        <f t="shared" si="4"/>
        <v>54390.4871</v>
      </c>
      <c r="H19" s="4">
        <f t="shared" si="5"/>
        <v>11074.5</v>
      </c>
      <c r="I19" s="23" t="s">
        <v>97</v>
      </c>
      <c r="J19" s="24" t="s">
        <v>98</v>
      </c>
      <c r="K19" s="23" t="s">
        <v>99</v>
      </c>
      <c r="L19" s="23" t="s">
        <v>100</v>
      </c>
      <c r="M19" s="24" t="s">
        <v>87</v>
      </c>
      <c r="N19" s="24" t="s">
        <v>94</v>
      </c>
      <c r="O19" s="25" t="s">
        <v>101</v>
      </c>
      <c r="P19" s="26" t="s">
        <v>102</v>
      </c>
    </row>
    <row r="20" spans="1:16" ht="12.75" customHeight="1" thickBot="1" x14ac:dyDescent="0.25">
      <c r="A20" s="4" t="str">
        <f t="shared" si="0"/>
        <v>OEJV 0137 </v>
      </c>
      <c r="B20" s="5" t="str">
        <f t="shared" si="1"/>
        <v>II</v>
      </c>
      <c r="C20" s="4">
        <f t="shared" si="2"/>
        <v>55101.495499999997</v>
      </c>
      <c r="D20" s="3" t="str">
        <f t="shared" si="3"/>
        <v>vis</v>
      </c>
      <c r="E20" s="22" t="e">
        <f>VLOOKUP(C20,Active!C$21:E$972,3,FALSE)</f>
        <v>#N/A</v>
      </c>
      <c r="F20" s="5" t="s">
        <v>66</v>
      </c>
      <c r="G20" s="3" t="str">
        <f t="shared" si="4"/>
        <v>55101.4955</v>
      </c>
      <c r="H20" s="4">
        <f t="shared" si="5"/>
        <v>11574.5</v>
      </c>
      <c r="I20" s="23" t="s">
        <v>108</v>
      </c>
      <c r="J20" s="24" t="s">
        <v>109</v>
      </c>
      <c r="K20" s="23" t="s">
        <v>110</v>
      </c>
      <c r="L20" s="23" t="s">
        <v>111</v>
      </c>
      <c r="M20" s="24" t="s">
        <v>87</v>
      </c>
      <c r="N20" s="24" t="s">
        <v>58</v>
      </c>
      <c r="O20" s="25" t="s">
        <v>112</v>
      </c>
      <c r="P20" s="26" t="s">
        <v>113</v>
      </c>
    </row>
    <row r="21" spans="1:16" ht="12.75" customHeight="1" thickBot="1" x14ac:dyDescent="0.25">
      <c r="A21" s="4" t="str">
        <f t="shared" si="0"/>
        <v>BAVM 225 </v>
      </c>
      <c r="B21" s="5" t="str">
        <f t="shared" si="1"/>
        <v>II</v>
      </c>
      <c r="C21" s="4">
        <f t="shared" si="2"/>
        <v>55859.423900000002</v>
      </c>
      <c r="D21" s="3" t="str">
        <f t="shared" si="3"/>
        <v>vis</v>
      </c>
      <c r="E21" s="22">
        <f>VLOOKUP(C21,Active!C$21:E$972,3,FALSE)</f>
        <v>12107.609366102875</v>
      </c>
      <c r="F21" s="5" t="s">
        <v>66</v>
      </c>
      <c r="G21" s="3" t="str">
        <f t="shared" si="4"/>
        <v>55859.4239</v>
      </c>
      <c r="H21" s="4">
        <f t="shared" si="5"/>
        <v>12107.5</v>
      </c>
      <c r="I21" s="23" t="s">
        <v>119</v>
      </c>
      <c r="J21" s="24" t="s">
        <v>120</v>
      </c>
      <c r="K21" s="23" t="s">
        <v>121</v>
      </c>
      <c r="L21" s="23" t="s">
        <v>122</v>
      </c>
      <c r="M21" s="24" t="s">
        <v>87</v>
      </c>
      <c r="N21" s="24" t="s">
        <v>94</v>
      </c>
      <c r="O21" s="25" t="s">
        <v>101</v>
      </c>
      <c r="P21" s="26" t="s">
        <v>123</v>
      </c>
    </row>
    <row r="22" spans="1:16" ht="12.75" customHeight="1" thickBot="1" x14ac:dyDescent="0.25">
      <c r="A22" s="4" t="str">
        <f t="shared" si="0"/>
        <v>BAVM 225 </v>
      </c>
      <c r="B22" s="5" t="str">
        <f t="shared" si="1"/>
        <v>I</v>
      </c>
      <c r="C22" s="4">
        <f t="shared" si="2"/>
        <v>55894.263700000003</v>
      </c>
      <c r="D22" s="3" t="str">
        <f t="shared" si="3"/>
        <v>vis</v>
      </c>
      <c r="E22" s="22">
        <f>VLOOKUP(C22,Active!C$21:E$972,3,FALSE)</f>
        <v>12132.110219875329</v>
      </c>
      <c r="F22" s="5" t="s">
        <v>66</v>
      </c>
      <c r="G22" s="3" t="str">
        <f t="shared" si="4"/>
        <v>55894.2637</v>
      </c>
      <c r="H22" s="4">
        <f t="shared" si="5"/>
        <v>12132</v>
      </c>
      <c r="I22" s="23" t="s">
        <v>124</v>
      </c>
      <c r="J22" s="24" t="s">
        <v>125</v>
      </c>
      <c r="K22" s="23" t="s">
        <v>126</v>
      </c>
      <c r="L22" s="23" t="s">
        <v>127</v>
      </c>
      <c r="M22" s="24" t="s">
        <v>87</v>
      </c>
      <c r="N22" s="24" t="s">
        <v>94</v>
      </c>
      <c r="O22" s="25" t="s">
        <v>101</v>
      </c>
      <c r="P22" s="26" t="s">
        <v>123</v>
      </c>
    </row>
    <row r="23" spans="1:16" x14ac:dyDescent="0.2">
      <c r="B23" s="5"/>
      <c r="E23" s="22"/>
      <c r="F23" s="5"/>
    </row>
    <row r="24" spans="1:16" x14ac:dyDescent="0.2">
      <c r="B24" s="5"/>
      <c r="E24" s="22"/>
      <c r="F24" s="5"/>
    </row>
    <row r="25" spans="1:16" x14ac:dyDescent="0.2">
      <c r="B25" s="5"/>
      <c r="E25" s="22"/>
      <c r="F25" s="5"/>
    </row>
    <row r="26" spans="1:16" x14ac:dyDescent="0.2">
      <c r="B26" s="5"/>
      <c r="E26" s="22"/>
      <c r="F26" s="5"/>
    </row>
    <row r="27" spans="1:16" x14ac:dyDescent="0.2">
      <c r="B27" s="5"/>
      <c r="E27" s="22"/>
      <c r="F27" s="5"/>
    </row>
    <row r="28" spans="1:16" x14ac:dyDescent="0.2">
      <c r="B28" s="5"/>
      <c r="E28" s="22"/>
      <c r="F28" s="5"/>
    </row>
    <row r="29" spans="1:16" x14ac:dyDescent="0.2">
      <c r="B29" s="5"/>
      <c r="E29" s="22"/>
      <c r="F29" s="5"/>
    </row>
    <row r="30" spans="1:16" x14ac:dyDescent="0.2">
      <c r="B30" s="5"/>
      <c r="E30" s="22"/>
      <c r="F30" s="5"/>
    </row>
    <row r="31" spans="1:16" x14ac:dyDescent="0.2">
      <c r="B31" s="5"/>
      <c r="E31" s="22"/>
      <c r="F31" s="5"/>
    </row>
    <row r="32" spans="1:16" x14ac:dyDescent="0.2">
      <c r="B32" s="5"/>
      <c r="E32" s="22"/>
      <c r="F32" s="5"/>
    </row>
    <row r="33" spans="2:6" x14ac:dyDescent="0.2">
      <c r="B33" s="5"/>
      <c r="E33" s="22"/>
      <c r="F33" s="5"/>
    </row>
    <row r="34" spans="2:6" x14ac:dyDescent="0.2">
      <c r="B34" s="5"/>
      <c r="E34" s="22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</sheetData>
  <phoneticPr fontId="7" type="noConversion"/>
  <hyperlinks>
    <hyperlink ref="P13" r:id="rId1" display="http://www.konkoly.hu/cgi-bin/IBVS?5263"/>
    <hyperlink ref="P14" r:id="rId2" display="http://var.astro.cz/oejv/issues/oejv0074.pdf"/>
    <hyperlink ref="P15" r:id="rId3" display="http://www.bav-astro.de/sfs/BAVM_link.php?BAVMnr=178"/>
    <hyperlink ref="P19" r:id="rId4" display="http://www.bav-astro.de/sfs/BAVM_link.php?BAVMnr=193"/>
    <hyperlink ref="P16" r:id="rId5" display="http://www.konkoly.hu/cgi-bin/IBVS?5871"/>
    <hyperlink ref="P20" r:id="rId6" display="http://var.astro.cz/oejv/issues/oejv0137.pdf"/>
    <hyperlink ref="P17" r:id="rId7" display="http://www.konkoly.hu/cgi-bin/IBVS?6011"/>
    <hyperlink ref="P21" r:id="rId8" display="http://www.bav-astro.de/sfs/BAVM_link.php?BAVMnr=225"/>
    <hyperlink ref="P22" r:id="rId9" display="http://www.bav-astro.de/sfs/BAVM_link.php?BAVMnr=225"/>
    <hyperlink ref="P18" r:id="rId10" display="http://www.konkoly.hu/cgi-bin/IBVS?61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2024-03-03T06:01:52Z</dcterms:modified>
</cp:coreProperties>
</file>