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951229-E824-471F-8253-837465C9B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I48" i="1" s="1"/>
  <c r="Q48" i="1"/>
  <c r="E47" i="1"/>
  <c r="F47" i="1" s="1"/>
  <c r="G47" i="1" s="1"/>
  <c r="I47" i="1" s="1"/>
  <c r="Q47" i="1"/>
  <c r="Q42" i="1"/>
  <c r="C7" i="1"/>
  <c r="E25" i="1"/>
  <c r="F25" i="1"/>
  <c r="C8" i="1"/>
  <c r="E36" i="1"/>
  <c r="F36" i="1"/>
  <c r="G36" i="1"/>
  <c r="K36" i="1"/>
  <c r="E21" i="1"/>
  <c r="F21" i="1"/>
  <c r="E27" i="1"/>
  <c r="F27" i="1"/>
  <c r="E29" i="1"/>
  <c r="F29" i="1"/>
  <c r="G29" i="1"/>
  <c r="K29" i="1"/>
  <c r="E30" i="1"/>
  <c r="F30" i="1"/>
  <c r="E32" i="1"/>
  <c r="F32" i="1"/>
  <c r="G32" i="1"/>
  <c r="K32" i="1"/>
  <c r="E35" i="1"/>
  <c r="F35" i="1"/>
  <c r="G35" i="1"/>
  <c r="K35" i="1"/>
  <c r="E37" i="1"/>
  <c r="F37" i="1"/>
  <c r="G37" i="1"/>
  <c r="K37" i="1"/>
  <c r="E38" i="1"/>
  <c r="F38" i="1"/>
  <c r="G38" i="1"/>
  <c r="K38" i="1"/>
  <c r="G11" i="1"/>
  <c r="F11" i="1"/>
  <c r="C24" i="1"/>
  <c r="E24" i="1"/>
  <c r="F24" i="1"/>
  <c r="E40" i="1"/>
  <c r="F40" i="1"/>
  <c r="G40" i="1"/>
  <c r="I40" i="1"/>
  <c r="E43" i="1"/>
  <c r="F43" i="1"/>
  <c r="G43" i="1"/>
  <c r="I43" i="1"/>
  <c r="E44" i="1"/>
  <c r="F44" i="1"/>
  <c r="G44" i="1"/>
  <c r="E45" i="1"/>
  <c r="F45" i="1"/>
  <c r="G45" i="1"/>
  <c r="I45" i="1"/>
  <c r="E41" i="1"/>
  <c r="F41" i="1"/>
  <c r="E46" i="1"/>
  <c r="F46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3" i="1"/>
  <c r="Q22" i="1"/>
  <c r="Q21" i="1"/>
  <c r="G17" i="2"/>
  <c r="C17" i="2"/>
  <c r="E17" i="2"/>
  <c r="G16" i="2"/>
  <c r="C16" i="2"/>
  <c r="E16" i="2"/>
  <c r="G15" i="2"/>
  <c r="C15" i="2"/>
  <c r="E15" i="2"/>
  <c r="G14" i="2"/>
  <c r="C14" i="2"/>
  <c r="E14" i="2"/>
  <c r="G35" i="2"/>
  <c r="C35" i="2"/>
  <c r="G13" i="2"/>
  <c r="C13" i="2"/>
  <c r="G12" i="2"/>
  <c r="C12" i="2"/>
  <c r="E12" i="2"/>
  <c r="G11" i="2"/>
  <c r="C11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G29" i="2"/>
  <c r="C29" i="2"/>
  <c r="G28" i="2"/>
  <c r="C28" i="2"/>
  <c r="E28" i="2"/>
  <c r="G27" i="2"/>
  <c r="C27" i="2"/>
  <c r="G26" i="2"/>
  <c r="C26" i="2"/>
  <c r="E26" i="2"/>
  <c r="G25" i="2"/>
  <c r="C25" i="2"/>
  <c r="E25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G18" i="2"/>
  <c r="C18" i="2"/>
  <c r="E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35" i="2"/>
  <c r="B35" i="2"/>
  <c r="D35" i="2"/>
  <c r="A35" i="2"/>
  <c r="H13" i="2"/>
  <c r="D13" i="2"/>
  <c r="B13" i="2"/>
  <c r="A13" i="2"/>
  <c r="H12" i="2"/>
  <c r="B12" i="2"/>
  <c r="D12" i="2"/>
  <c r="A12" i="2"/>
  <c r="H11" i="2"/>
  <c r="D11" i="2"/>
  <c r="B11" i="2"/>
  <c r="A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Q46" i="1"/>
  <c r="Q45" i="1"/>
  <c r="E14" i="1"/>
  <c r="E15" i="1" s="1"/>
  <c r="Q44" i="1"/>
  <c r="I44" i="1"/>
  <c r="Q39" i="1"/>
  <c r="Q40" i="1"/>
  <c r="Q41" i="1"/>
  <c r="Q43" i="1"/>
  <c r="E11" i="2"/>
  <c r="C17" i="1"/>
  <c r="Q24" i="1"/>
  <c r="E23" i="1"/>
  <c r="E21" i="2"/>
  <c r="E13" i="2"/>
  <c r="E39" i="1"/>
  <c r="F39" i="1"/>
  <c r="G39" i="1"/>
  <c r="I39" i="1"/>
  <c r="E34" i="1"/>
  <c r="F34" i="1"/>
  <c r="U34" i="1"/>
  <c r="E26" i="1"/>
  <c r="F26" i="1"/>
  <c r="G26" i="1"/>
  <c r="K26" i="1"/>
  <c r="G41" i="1"/>
  <c r="I41" i="1"/>
  <c r="G24" i="1"/>
  <c r="H24" i="1"/>
  <c r="E42" i="1"/>
  <c r="F42" i="1"/>
  <c r="G42" i="1"/>
  <c r="K42" i="1"/>
  <c r="E31" i="1"/>
  <c r="F31" i="1"/>
  <c r="G31" i="1"/>
  <c r="K31" i="1"/>
  <c r="G25" i="1"/>
  <c r="K25" i="1"/>
  <c r="E22" i="1"/>
  <c r="F22" i="1"/>
  <c r="G22" i="1"/>
  <c r="K22" i="1"/>
  <c r="G30" i="1"/>
  <c r="K30" i="1"/>
  <c r="E28" i="1"/>
  <c r="F28" i="1"/>
  <c r="G28" i="1"/>
  <c r="K28" i="1"/>
  <c r="G21" i="1"/>
  <c r="G46" i="1"/>
  <c r="I46" i="1"/>
  <c r="E33" i="1"/>
  <c r="F33" i="1"/>
  <c r="G33" i="1"/>
  <c r="K33" i="1"/>
  <c r="U27" i="1"/>
  <c r="E35" i="2"/>
  <c r="E24" i="2"/>
  <c r="E19" i="2"/>
  <c r="E29" i="2"/>
  <c r="E22" i="2"/>
  <c r="E30" i="2"/>
  <c r="K21" i="1"/>
  <c r="E20" i="2"/>
  <c r="F23" i="1"/>
  <c r="G23" i="1"/>
  <c r="E27" i="2"/>
  <c r="K23" i="1"/>
  <c r="C11" i="1"/>
  <c r="C12" i="1" l="1"/>
  <c r="O40" i="1" l="1"/>
  <c r="O34" i="1"/>
  <c r="O43" i="1"/>
  <c r="C15" i="1"/>
  <c r="O25" i="1"/>
  <c r="O46" i="1"/>
  <c r="O47" i="1"/>
  <c r="O32" i="1"/>
  <c r="O22" i="1"/>
  <c r="O28" i="1"/>
  <c r="O33" i="1"/>
  <c r="O23" i="1"/>
  <c r="O21" i="1"/>
  <c r="O30" i="1"/>
  <c r="O39" i="1"/>
  <c r="O38" i="1"/>
  <c r="O26" i="1"/>
  <c r="O24" i="1"/>
  <c r="O42" i="1"/>
  <c r="O37" i="1"/>
  <c r="O48" i="1"/>
  <c r="O31" i="1"/>
  <c r="O41" i="1"/>
  <c r="O27" i="1"/>
  <c r="O36" i="1"/>
  <c r="O45" i="1"/>
  <c r="O35" i="1"/>
  <c r="C16" i="1"/>
  <c r="D18" i="1" s="1"/>
  <c r="O44" i="1"/>
  <c r="O29" i="1"/>
  <c r="C18" i="1" l="1"/>
  <c r="E16" i="1"/>
  <c r="E17" i="1" s="1"/>
</calcChain>
</file>

<file path=xl/sharedStrings.xml><?xml version="1.0" encoding="utf-8"?>
<sst xmlns="http://schemas.openxmlformats.org/spreadsheetml/2006/main" count="298" uniqueCount="164">
  <si>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</si>
  <si>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</si>
  <si>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</si>
  <si>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</si>
  <si>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</si>
  <si>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</si>
  <si>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</si>
  <si>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</si>
  <si>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</si>
  <si>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</si>
  <si>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</si>
  <si>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</si>
  <si>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</si>
  <si>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</si>
  <si>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</si>
  <si>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</si>
  <si>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</si>
  <si>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</si>
  <si>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</si>
  <si>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</si>
  <si>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</si>
  <si>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</si>
  <si>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</si>
  <si>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</si>
  <si>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</si>
  <si>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</si>
  <si>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</si>
  <si>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</si>
  <si>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EA/SD:</t>
  </si>
  <si>
    <t>IBVS 5296</t>
  </si>
  <si>
    <t># of data points:</t>
  </si>
  <si>
    <t>IBVS 5657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</si>
  <si>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</si>
  <si>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</si>
  <si>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</si>
  <si>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</si>
  <si>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</si>
  <si>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</si>
  <si>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</si>
  <si>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5920</t>
  </si>
  <si>
    <t>I</t>
  </si>
  <si>
    <t>IBVS 5929</t>
  </si>
  <si>
    <t>Add cycle</t>
  </si>
  <si>
    <t>Old Cycle</t>
  </si>
  <si>
    <t>IBVS 6010</t>
  </si>
  <si>
    <t>IBVS 6118</t>
  </si>
  <si>
    <t>BAD?</t>
  </si>
  <si>
    <t>V0427 Per / gsc 2850-1980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</si>
  <si>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</si>
  <si>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</si>
  <si>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</si>
  <si>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</si>
  <si>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</si>
  <si>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</si>
  <si>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</si>
  <si>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</si>
  <si>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</si>
  <si>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</si>
  <si>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</si>
  <si>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2429516.522 </t>
  </si>
  <si>
    <t> 10.09.1939 00:31 </t>
  </si>
  <si>
    <t> -0.008 </t>
  </si>
  <si>
    <t>P </t>
  </si>
  <si>
    <t> H.Busch </t>
  </si>
  <si>
    <t> MHAR 12.13 </t>
  </si>
  <si>
    <t>2437286.373 </t>
  </si>
  <si>
    <t> 17.12.1960 20:57 </t>
  </si>
  <si>
    <t> 0.041 </t>
  </si>
  <si>
    <t>2437345.319 </t>
  </si>
  <si>
    <t> 14.02.1961 19:39 </t>
  </si>
  <si>
    <t> -0.024 </t>
  </si>
  <si>
    <t>2437376.306 </t>
  </si>
  <si>
    <t> 17.03.1961 19:20 </t>
  </si>
  <si>
    <t> 0.052 </t>
  </si>
  <si>
    <t>2437578.549 </t>
  </si>
  <si>
    <t> 06.10.1961 01:10 </t>
  </si>
  <si>
    <t> -0.029 </t>
  </si>
  <si>
    <t>2438272.576 </t>
  </si>
  <si>
    <t> 31.08.1963 01:49 </t>
  </si>
  <si>
    <t> -0.085 </t>
  </si>
  <si>
    <t>2438289.523 </t>
  </si>
  <si>
    <t> 17.09.1963 00:33 </t>
  </si>
  <si>
    <t> 0.002 </t>
  </si>
  <si>
    <t>2438331.672 </t>
  </si>
  <si>
    <t> 29.10.1963 04:07 </t>
  </si>
  <si>
    <t> -0.000 </t>
  </si>
  <si>
    <t>2438348.547 </t>
  </si>
  <si>
    <t> 15.11.1963 01:07 </t>
  </si>
  <si>
    <t> 0.014 </t>
  </si>
  <si>
    <t>2438410.349 </t>
  </si>
  <si>
    <t> 15.01.1964 20:22 </t>
  </si>
  <si>
    <t> -0.005 </t>
  </si>
  <si>
    <t>2439028.564 </t>
  </si>
  <si>
    <t> 25.09.1965 01:32 </t>
  </si>
  <si>
    <t> -0.002 </t>
  </si>
  <si>
    <t>2439250.546 </t>
  </si>
  <si>
    <t> 05.05.1966 01:06 </t>
  </si>
  <si>
    <t> -0.014 </t>
  </si>
  <si>
    <t>2439285.498 </t>
  </si>
  <si>
    <t> 08.06.1966 23:57 </t>
  </si>
  <si>
    <t> -0.188 </t>
  </si>
  <si>
    <t>2439413.563 </t>
  </si>
  <si>
    <t> 15.10.1966 01:30 </t>
  </si>
  <si>
    <t> 0.020 </t>
  </si>
  <si>
    <t>2440152.597 </t>
  </si>
  <si>
    <t> 23.10.1968 02:19 </t>
  </si>
  <si>
    <t> 0.009 </t>
  </si>
  <si>
    <t>2440478.533 </t>
  </si>
  <si>
    <t> 14.09.1969 00:47 </t>
  </si>
  <si>
    <t> -0.021 </t>
  </si>
  <si>
    <t>2440509.463 </t>
  </si>
  <si>
    <t> 14.10.1969 23:06 </t>
  </si>
  <si>
    <t>2452258.3152 </t>
  </si>
  <si>
    <t> 14.12.2001 19:33 </t>
  </si>
  <si>
    <t> 0.0103 </t>
  </si>
  <si>
    <t>E </t>
  </si>
  <si>
    <t>o</t>
  </si>
  <si>
    <t> F.Agerer </t>
  </si>
  <si>
    <t>BAVM 152 </t>
  </si>
  <si>
    <t>2453382.3382 </t>
  </si>
  <si>
    <t> 11.01.2005 20:07 </t>
  </si>
  <si>
    <t> 0.0113 </t>
  </si>
  <si>
    <t>-I</t>
  </si>
  <si>
    <t>BAVM 173 </t>
  </si>
  <si>
    <t>2453427.3065 </t>
  </si>
  <si>
    <t> 25.02.2005 19:21 </t>
  </si>
  <si>
    <t>5723</t>
  </si>
  <si>
    <t> 0.0187 </t>
  </si>
  <si>
    <t> U.Schmidt </t>
  </si>
  <si>
    <t>2455155.4856 </t>
  </si>
  <si>
    <t> 19.11.2009 23:39 </t>
  </si>
  <si>
    <t>6338</t>
  </si>
  <si>
    <t> 0.0140 </t>
  </si>
  <si>
    <t>C </t>
  </si>
  <si>
    <t>BAVM 212 </t>
  </si>
  <si>
    <t>2455166.7236 </t>
  </si>
  <si>
    <t> 01.12.2009 05:21 </t>
  </si>
  <si>
    <t>6342</t>
  </si>
  <si>
    <t> 0.0118 </t>
  </si>
  <si>
    <t> R.Nelson </t>
  </si>
  <si>
    <t>IBVS 5929 </t>
  </si>
  <si>
    <t>2455197.6373 </t>
  </si>
  <si>
    <t> 01.01.2010 03:17 </t>
  </si>
  <si>
    <t>6353</t>
  </si>
  <si>
    <t> 0.0149 </t>
  </si>
  <si>
    <t> R.Diethelm </t>
  </si>
  <si>
    <t>IBVS 5920 </t>
  </si>
  <si>
    <t>2455481.4508 </t>
  </si>
  <si>
    <t> 11.10.2010 22:49 </t>
  </si>
  <si>
    <t>6454</t>
  </si>
  <si>
    <t> 0.0128 </t>
  </si>
  <si>
    <t> W.Moschner &amp; P.Frank </t>
  </si>
  <si>
    <t>BAVM 220 </t>
  </si>
  <si>
    <t>2456650.4303 </t>
  </si>
  <si>
    <t> 23.12.2013 22:19 </t>
  </si>
  <si>
    <t>6870</t>
  </si>
  <si>
    <t> 0.0095 </t>
  </si>
  <si>
    <t>BAVM 234 </t>
  </si>
  <si>
    <t>II</t>
  </si>
  <si>
    <t>JAAVSO 51, 138</t>
  </si>
  <si>
    <t>JBAV, 79</t>
  </si>
  <si>
    <t>vis?</t>
  </si>
  <si>
    <t>Nelson pers com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</si>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</sst>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  <xf numFmtId="43" fontId="24" fillId="0" borderId="0" applyFon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4" fontId="8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43" fontId="23" fillId="0" borderId="0" xfId="9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Alignment="1">
      <alignment horizontal="left"/>
    </xf>
    <xf numFmtId="165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5" fontId="23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43" fontId="23" fillId="0" borderId="0" xfId="9" applyFont="1" applyBorder="1" applyAlignment="1">
      <alignment horizont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V0427 Per - O-C Diagr.</a:t>
            </a:r>
          </a:p>
        </c:rich>
      </c:tx>
      <c:layout>
        <c:manualLayout>
          <c:xMode val="edge"/>
          <c:yMode val="edge"/>
          <c:x val="0.3683363650626062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09861001442757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D-4923-BC3F-8BF9A94E65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8">
                  <c:v>1.0314999992260709E-2</c:v>
                </c:pt>
                <c:pt idx="19">
                  <c:v>1.1314999996102415E-2</c:v>
                </c:pt>
                <c:pt idx="20">
                  <c:v>1.8734999997832347E-2</c:v>
                </c:pt>
                <c:pt idx="22">
                  <c:v>1.1789999996835832E-2</c:v>
                </c:pt>
                <c:pt idx="23">
                  <c:v>1.48849999968661E-2</c:v>
                </c:pt>
                <c:pt idx="24">
                  <c:v>1.2829999999667052E-2</c:v>
                </c:pt>
                <c:pt idx="25">
                  <c:v>9.4499999977415428E-3</c:v>
                </c:pt>
                <c:pt idx="26">
                  <c:v>1.8914999993285164E-2</c:v>
                </c:pt>
                <c:pt idx="27">
                  <c:v>4.3222499807598069E-2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D-4923-BC3F-8BF9A94E65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2D-4923-BC3F-8BF9A94E65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-7.7700000001641456E-3</c:v>
                </c:pt>
                <c:pt idx="1">
                  <c:v>4.1154999998980202E-2</c:v>
                </c:pt>
                <c:pt idx="2">
                  <c:v>-2.3999999997613486E-2</c:v>
                </c:pt>
                <c:pt idx="4">
                  <c:v>5.2394999998796266E-2</c:v>
                </c:pt>
                <c:pt idx="5">
                  <c:v>-2.8565000000526197E-2</c:v>
                </c:pt>
                <c:pt idx="7">
                  <c:v>1.5199999979813583E-3</c:v>
                </c:pt>
                <c:pt idx="8">
                  <c:v>-3.0500000138999894E-4</c:v>
                </c:pt>
                <c:pt idx="9">
                  <c:v>1.4364999995450489E-2</c:v>
                </c:pt>
                <c:pt idx="10">
                  <c:v>-4.8449999958393164E-3</c:v>
                </c:pt>
                <c:pt idx="11">
                  <c:v>-1.9450000036158599E-3</c:v>
                </c:pt>
                <c:pt idx="12">
                  <c:v>-1.4289999999164138E-2</c:v>
                </c:pt>
                <c:pt idx="14">
                  <c:v>1.9520000001648441E-2</c:v>
                </c:pt>
                <c:pt idx="15">
                  <c:v>9.0550000022631139E-3</c:v>
                </c:pt>
                <c:pt idx="16">
                  <c:v>-2.1325000001525041E-2</c:v>
                </c:pt>
                <c:pt idx="17">
                  <c:v>-1.9299999985378236E-3</c:v>
                </c:pt>
                <c:pt idx="21">
                  <c:v>1.4009999998961575E-2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2D-4923-BC3F-8BF9A94E65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2D-4923-BC3F-8BF9A94E65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2D-4923-BC3F-8BF9A94E65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18">
                    <c:v>2.0000000000000001E-4</c:v>
                  </c:pt>
                  <c:pt idx="19">
                    <c:v>8.0000000000000004E-4</c:v>
                  </c:pt>
                  <c:pt idx="20">
                    <c:v>2.8999999999999998E-3</c:v>
                  </c:pt>
                  <c:pt idx="22">
                    <c:v>2.0000000000000001E-4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7.4000000000000003E-3</c:v>
                  </c:pt>
                  <c:pt idx="26">
                    <c:v>2.8999999999999998E-3</c:v>
                  </c:pt>
                  <c:pt idx="2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2D-4923-BC3F-8BF9A94E65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-5.1430819935782413E-3</c:v>
                </c:pt>
                <c:pt idx="1">
                  <c:v>1.3519496749314405E-3</c:v>
                </c:pt>
                <c:pt idx="2">
                  <c:v>1.4012790293758178E-3</c:v>
                </c:pt>
                <c:pt idx="3">
                  <c:v>1.4012790293758178E-3</c:v>
                </c:pt>
                <c:pt idx="4">
                  <c:v>1.4271182150371582E-3</c:v>
                </c:pt>
                <c:pt idx="5">
                  <c:v>1.5962474302750234E-3</c:v>
                </c:pt>
                <c:pt idx="6">
                  <c:v>2.1764545992160331E-3</c:v>
                </c:pt>
                <c:pt idx="7">
                  <c:v>2.1905487004858551E-3</c:v>
                </c:pt>
                <c:pt idx="8">
                  <c:v>2.2257839536604105E-3</c:v>
                </c:pt>
                <c:pt idx="9">
                  <c:v>2.2398780549302325E-3</c:v>
                </c:pt>
                <c:pt idx="10">
                  <c:v>2.2915564262529133E-3</c:v>
                </c:pt>
                <c:pt idx="11">
                  <c:v>2.8083401394797237E-3</c:v>
                </c:pt>
                <c:pt idx="12">
                  <c:v>2.9939124728657145E-3</c:v>
                </c:pt>
                <c:pt idx="13">
                  <c:v>3.0232751838445105E-3</c:v>
                </c:pt>
                <c:pt idx="14">
                  <c:v>3.130155451807328E-3</c:v>
                </c:pt>
                <c:pt idx="15">
                  <c:v>3.7479468908011965E-3</c:v>
                </c:pt>
                <c:pt idx="16">
                  <c:v>4.020432848684424E-3</c:v>
                </c:pt>
                <c:pt idx="17">
                  <c:v>4.0462720343457641E-3</c:v>
                </c:pt>
                <c:pt idx="18">
                  <c:v>1.386751160253346E-2</c:v>
                </c:pt>
                <c:pt idx="19">
                  <c:v>1.4807118353854933E-2</c:v>
                </c:pt>
                <c:pt idx="20">
                  <c:v>1.4844702623907791E-2</c:v>
                </c:pt>
                <c:pt idx="21">
                  <c:v>1.6289348004064556E-2</c:v>
                </c:pt>
                <c:pt idx="22">
                  <c:v>1.6298744071577772E-2</c:v>
                </c:pt>
                <c:pt idx="23">
                  <c:v>1.6324583257239112E-2</c:v>
                </c:pt>
                <c:pt idx="24">
                  <c:v>1.6561833961947783E-2</c:v>
                </c:pt>
                <c:pt idx="25">
                  <c:v>1.7539024983322118E-2</c:v>
                </c:pt>
                <c:pt idx="26">
                  <c:v>2.0021935823689108E-2</c:v>
                </c:pt>
                <c:pt idx="27">
                  <c:v>2.0218078733027466E-2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2D-4923-BC3F-8BF9A94E65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-2786</c:v>
                </c:pt>
                <c:pt idx="1">
                  <c:v>-21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83</c:v>
                </c:pt>
                <c:pt idx="6">
                  <c:v>330</c:v>
                </c:pt>
                <c:pt idx="7">
                  <c:v>336</c:v>
                </c:pt>
                <c:pt idx="8">
                  <c:v>351</c:v>
                </c:pt>
                <c:pt idx="9">
                  <c:v>357</c:v>
                </c:pt>
                <c:pt idx="10">
                  <c:v>379</c:v>
                </c:pt>
                <c:pt idx="11">
                  <c:v>599</c:v>
                </c:pt>
                <c:pt idx="12">
                  <c:v>678</c:v>
                </c:pt>
                <c:pt idx="13">
                  <c:v>690.5</c:v>
                </c:pt>
                <c:pt idx="14">
                  <c:v>736</c:v>
                </c:pt>
                <c:pt idx="15">
                  <c:v>999</c:v>
                </c:pt>
                <c:pt idx="16">
                  <c:v>1115</c:v>
                </c:pt>
                <c:pt idx="17">
                  <c:v>1126</c:v>
                </c:pt>
                <c:pt idx="18">
                  <c:v>5307</c:v>
                </c:pt>
                <c:pt idx="19">
                  <c:v>5707</c:v>
                </c:pt>
                <c:pt idx="20">
                  <c:v>5723</c:v>
                </c:pt>
                <c:pt idx="21">
                  <c:v>6338</c:v>
                </c:pt>
                <c:pt idx="22">
                  <c:v>6342</c:v>
                </c:pt>
                <c:pt idx="23">
                  <c:v>6353</c:v>
                </c:pt>
                <c:pt idx="24">
                  <c:v>6454</c:v>
                </c:pt>
                <c:pt idx="25">
                  <c:v>6870</c:v>
                </c:pt>
                <c:pt idx="26">
                  <c:v>7927</c:v>
                </c:pt>
                <c:pt idx="27">
                  <c:v>8010.5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-8.5149999998975545E-2</c:v>
                </c:pt>
                <c:pt idx="13">
                  <c:v>-0.18797749999794178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2D-4923-BC3F-8BF9A94E6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150880"/>
        <c:axId val="1"/>
      </c:scatterChart>
      <c:valAx>
        <c:axId val="93715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15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9323182340495"/>
          <c:y val="0.92073298764483702"/>
          <c:w val="0.8578358965226277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28574</xdr:rowOff>
    </xdr:from>
    <xdr:to>
      <xdr:col>17</xdr:col>
      <xdr:colOff>266700</xdr:colOff>
      <xdr:row>18</xdr:row>
      <xdr:rowOff>114299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F7C5CB-8AE4-A5D1-B450-A1ED1394E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3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konkoly.hu/cgi-bin/IBVS?5929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47</v>
      </c>
    </row>
    <row r="2" spans="1:7" s="41" customFormat="1" ht="12.95" customHeight="1" x14ac:dyDescent="0.2">
      <c r="A2" s="41" t="s">
        <v>24</v>
      </c>
      <c r="B2" s="41" t="s">
        <v>28</v>
      </c>
    </row>
    <row r="3" spans="1:7" s="41" customFormat="1" ht="12.95" customHeight="1" thickBot="1" x14ac:dyDescent="0.25"/>
    <row r="4" spans="1:7" s="41" customFormat="1" ht="12.95" customHeight="1" thickTop="1" thickBot="1" x14ac:dyDescent="0.25">
      <c r="A4" s="42" t="s">
        <v>0</v>
      </c>
      <c r="C4" s="43">
        <v>37345.343000000001</v>
      </c>
      <c r="D4" s="44">
        <v>2.8100550000000002</v>
      </c>
    </row>
    <row r="5" spans="1:7" s="41" customFormat="1" ht="12.95" customHeight="1" thickTop="1" x14ac:dyDescent="0.2"/>
    <row r="6" spans="1:7" s="41" customFormat="1" ht="12.95" customHeight="1" x14ac:dyDescent="0.2">
      <c r="A6" s="42" t="s">
        <v>1</v>
      </c>
    </row>
    <row r="7" spans="1:7" s="41" customFormat="1" ht="12.95" customHeight="1" x14ac:dyDescent="0.2">
      <c r="A7" s="41" t="s">
        <v>2</v>
      </c>
      <c r="C7" s="41">
        <f>+C4</f>
        <v>37345.343000000001</v>
      </c>
    </row>
    <row r="8" spans="1:7" s="41" customFormat="1" ht="12.95" customHeight="1" x14ac:dyDescent="0.2">
      <c r="A8" s="41" t="s">
        <v>3</v>
      </c>
      <c r="C8" s="41">
        <f>+D4</f>
        <v>2.8100550000000002</v>
      </c>
    </row>
    <row r="9" spans="1:7" s="41" customFormat="1" ht="12.95" customHeight="1" x14ac:dyDescent="0.2">
      <c r="A9" s="45" t="s">
        <v>32</v>
      </c>
      <c r="C9" s="46">
        <v>-9.5</v>
      </c>
      <c r="D9" s="41" t="s">
        <v>33</v>
      </c>
    </row>
    <row r="10" spans="1:7" s="41" customFormat="1" ht="12.95" customHeight="1" thickBot="1" x14ac:dyDescent="0.25">
      <c r="C10" s="47" t="s">
        <v>20</v>
      </c>
      <c r="D10" s="47" t="s">
        <v>21</v>
      </c>
    </row>
    <row r="11" spans="1:7" s="41" customFormat="1" ht="12.95" customHeight="1" x14ac:dyDescent="0.2">
      <c r="A11" s="41" t="s">
        <v>16</v>
      </c>
      <c r="C11" s="48">
        <f ca="1">INTERCEPT(INDIRECT($G$11):G992,INDIRECT($F$11):F992)</f>
        <v>1.4012790293758178E-3</v>
      </c>
      <c r="D11" s="49"/>
      <c r="F11" s="50" t="str">
        <f>"F"&amp;E19</f>
        <v>F21</v>
      </c>
      <c r="G11" s="48" t="str">
        <f>"G"&amp;E19</f>
        <v>G21</v>
      </c>
    </row>
    <row r="12" spans="1:7" s="41" customFormat="1" ht="12.95" customHeight="1" x14ac:dyDescent="0.2">
      <c r="A12" s="41" t="s">
        <v>17</v>
      </c>
      <c r="C12" s="48">
        <f ca="1">SLOPE(INDIRECT($G$11):G992,INDIRECT($F$11):F992)</f>
        <v>2.3490168783036824E-6</v>
      </c>
      <c r="D12" s="49"/>
    </row>
    <row r="13" spans="1:7" s="41" customFormat="1" ht="12.95" customHeight="1" x14ac:dyDescent="0.2">
      <c r="A13" s="41" t="s">
        <v>19</v>
      </c>
      <c r="C13" s="49" t="s">
        <v>14</v>
      </c>
      <c r="D13" s="51" t="s">
        <v>42</v>
      </c>
      <c r="E13" s="46">
        <v>1</v>
      </c>
    </row>
    <row r="14" spans="1:7" s="41" customFormat="1" ht="12.95" customHeight="1" x14ac:dyDescent="0.2">
      <c r="D14" s="51" t="s">
        <v>34</v>
      </c>
      <c r="E14" s="52">
        <f ca="1">NOW()+15018.5+$C$9/24</f>
        <v>60372.794208796295</v>
      </c>
    </row>
    <row r="15" spans="1:7" s="41" customFormat="1" ht="12.95" customHeight="1" x14ac:dyDescent="0.2">
      <c r="A15" s="53" t="s">
        <v>18</v>
      </c>
      <c r="C15" s="54">
        <f ca="1">(C7+C11)+(C8+C12)*INT(MAX(F21:F3533))</f>
        <v>59853.90376690423</v>
      </c>
      <c r="D15" s="51" t="s">
        <v>43</v>
      </c>
      <c r="E15" s="52">
        <f ca="1">ROUND(2*(E14-$C$7)/$C$8,0)/2+E13</f>
        <v>8195.5</v>
      </c>
    </row>
    <row r="16" spans="1:7" s="41" customFormat="1" ht="12.95" customHeight="1" x14ac:dyDescent="0.2">
      <c r="A16" s="42" t="s">
        <v>4</v>
      </c>
      <c r="C16" s="55">
        <f ca="1">+C8+C12</f>
        <v>2.8100573490168785</v>
      </c>
      <c r="D16" s="51" t="s">
        <v>35</v>
      </c>
      <c r="E16" s="48">
        <f ca="1">ROUND(2*(E14-$C$15)/$C$16,0)/2+E13</f>
        <v>185.5</v>
      </c>
    </row>
    <row r="17" spans="1:21" s="41" customFormat="1" ht="12.95" customHeight="1" thickBot="1" x14ac:dyDescent="0.25">
      <c r="A17" s="51" t="s">
        <v>30</v>
      </c>
      <c r="C17" s="41">
        <f>COUNT(C21:C2191)</f>
        <v>28</v>
      </c>
      <c r="D17" s="51" t="s">
        <v>36</v>
      </c>
      <c r="E17" s="56">
        <f ca="1">+$C$15+$C$16*E16-15018.5-$C$9/24</f>
        <v>45357.065238480194</v>
      </c>
    </row>
    <row r="18" spans="1:21" s="41" customFormat="1" ht="12.95" customHeight="1" thickTop="1" thickBot="1" x14ac:dyDescent="0.25">
      <c r="A18" s="42" t="s">
        <v>5</v>
      </c>
      <c r="C18" s="43">
        <f ca="1">+C15</f>
        <v>59853.90376690423</v>
      </c>
      <c r="D18" s="44">
        <f ca="1">+C16</f>
        <v>2.8100573490168785</v>
      </c>
      <c r="E18" s="57" t="s">
        <v>37</v>
      </c>
    </row>
    <row r="19" spans="1:21" s="41" customFormat="1" ht="12.95" customHeight="1" thickTop="1" x14ac:dyDescent="0.2">
      <c r="A19" s="58" t="s">
        <v>38</v>
      </c>
      <c r="E19" s="59">
        <v>21</v>
      </c>
    </row>
    <row r="20" spans="1:21" s="41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60" t="s">
        <v>12</v>
      </c>
      <c r="I20" s="60" t="s">
        <v>50</v>
      </c>
      <c r="J20" s="60" t="s">
        <v>163</v>
      </c>
      <c r="K20" s="60" t="s">
        <v>161</v>
      </c>
      <c r="L20" s="60" t="s">
        <v>25</v>
      </c>
      <c r="M20" s="60" t="s">
        <v>26</v>
      </c>
      <c r="N20" s="60" t="s">
        <v>27</v>
      </c>
      <c r="O20" s="60" t="s">
        <v>23</v>
      </c>
      <c r="P20" s="61" t="s">
        <v>22</v>
      </c>
      <c r="Q20" s="47" t="s">
        <v>15</v>
      </c>
      <c r="U20" s="62" t="s">
        <v>46</v>
      </c>
    </row>
    <row r="21" spans="1:21" s="41" customFormat="1" ht="12.95" customHeight="1" x14ac:dyDescent="0.2">
      <c r="A21" s="63" t="s">
        <v>64</v>
      </c>
      <c r="B21" s="64" t="s">
        <v>40</v>
      </c>
      <c r="C21" s="63">
        <v>29516.522000000001</v>
      </c>
      <c r="D21" s="65"/>
      <c r="E21" s="41">
        <f t="shared" ref="E21:E46" si="0">+(C21-C$7)/C$8</f>
        <v>-2786.0027650704342</v>
      </c>
      <c r="F21" s="41">
        <f t="shared" ref="F21:F46" si="1">ROUND(2*E21,0)/2</f>
        <v>-2786</v>
      </c>
      <c r="G21" s="41">
        <f t="shared" ref="G21:G26" si="2">+C21-(C$7+F21*C$8)</f>
        <v>-7.7700000001641456E-3</v>
      </c>
      <c r="K21" s="41">
        <f>+G21</f>
        <v>-7.7700000001641456E-3</v>
      </c>
      <c r="O21" s="41">
        <f t="shared" ref="O21:O46" ca="1" si="3">+C$11+C$12*$F21</f>
        <v>-5.1430819935782413E-3</v>
      </c>
      <c r="Q21" s="66">
        <f t="shared" ref="Q21:Q46" si="4">+C21-15018.5</f>
        <v>14498.022000000001</v>
      </c>
    </row>
    <row r="22" spans="1:21" s="41" customFormat="1" ht="12.95" customHeight="1" x14ac:dyDescent="0.2">
      <c r="A22" s="63" t="s">
        <v>64</v>
      </c>
      <c r="B22" s="64" t="s">
        <v>40</v>
      </c>
      <c r="C22" s="63">
        <v>37286.373</v>
      </c>
      <c r="D22" s="65"/>
      <c r="E22" s="41">
        <f t="shared" si="0"/>
        <v>-20.985354379185161</v>
      </c>
      <c r="F22" s="41">
        <f t="shared" si="1"/>
        <v>-21</v>
      </c>
      <c r="G22" s="41">
        <f t="shared" si="2"/>
        <v>4.1154999998980202E-2</v>
      </c>
      <c r="K22" s="41">
        <f>+G22</f>
        <v>4.1154999998980202E-2</v>
      </c>
      <c r="O22" s="41">
        <f t="shared" ca="1" si="3"/>
        <v>1.3519496749314405E-3</v>
      </c>
      <c r="Q22" s="66">
        <f t="shared" si="4"/>
        <v>22267.873</v>
      </c>
    </row>
    <row r="23" spans="1:21" s="41" customFormat="1" ht="12.95" customHeight="1" x14ac:dyDescent="0.2">
      <c r="A23" s="63" t="s">
        <v>64</v>
      </c>
      <c r="B23" s="64" t="s">
        <v>40</v>
      </c>
      <c r="C23" s="63">
        <v>37345.319000000003</v>
      </c>
      <c r="D23" s="65"/>
      <c r="E23" s="41">
        <f t="shared" si="0"/>
        <v>-8.5407580981914887E-3</v>
      </c>
      <c r="F23" s="41">
        <f t="shared" si="1"/>
        <v>0</v>
      </c>
      <c r="G23" s="41">
        <f t="shared" si="2"/>
        <v>-2.3999999997613486E-2</v>
      </c>
      <c r="K23" s="41">
        <f>+G23</f>
        <v>-2.3999999997613486E-2</v>
      </c>
      <c r="O23" s="41">
        <f t="shared" ca="1" si="3"/>
        <v>1.4012790293758178E-3</v>
      </c>
      <c r="Q23" s="66">
        <f t="shared" si="4"/>
        <v>22326.819000000003</v>
      </c>
    </row>
    <row r="24" spans="1:21" s="41" customFormat="1" ht="12.95" customHeight="1" x14ac:dyDescent="0.2">
      <c r="A24" s="41" t="s">
        <v>12</v>
      </c>
      <c r="B24" s="49"/>
      <c r="C24" s="65">
        <f>+C7</f>
        <v>37345.343000000001</v>
      </c>
      <c r="D24" s="65" t="s">
        <v>14</v>
      </c>
      <c r="E24" s="41">
        <f t="shared" si="0"/>
        <v>0</v>
      </c>
      <c r="F24" s="41">
        <f t="shared" si="1"/>
        <v>0</v>
      </c>
      <c r="G24" s="41">
        <f t="shared" si="2"/>
        <v>0</v>
      </c>
      <c r="H24" s="41">
        <f>+G24</f>
        <v>0</v>
      </c>
      <c r="O24" s="41">
        <f t="shared" ca="1" si="3"/>
        <v>1.4012790293758178E-3</v>
      </c>
      <c r="Q24" s="66">
        <f t="shared" si="4"/>
        <v>22326.843000000001</v>
      </c>
    </row>
    <row r="25" spans="1:21" x14ac:dyDescent="0.2">
      <c r="A25" s="29" t="s">
        <v>64</v>
      </c>
      <c r="B25" s="30" t="s">
        <v>40</v>
      </c>
      <c r="C25" s="29">
        <v>37376.305999999997</v>
      </c>
      <c r="D25" s="7"/>
      <c r="E25">
        <f t="shared" si="0"/>
        <v>11.018645542523579</v>
      </c>
      <c r="F25">
        <f t="shared" si="1"/>
        <v>11</v>
      </c>
      <c r="G25">
        <f t="shared" si="2"/>
        <v>5.2394999998796266E-2</v>
      </c>
      <c r="K25">
        <f>+G25</f>
        <v>5.2394999998796266E-2</v>
      </c>
      <c r="O25">
        <f t="shared" ca="1" si="3"/>
        <v>1.4271182150371582E-3</v>
      </c>
      <c r="Q25" s="2">
        <f t="shared" si="4"/>
        <v>22357.805999999997</v>
      </c>
    </row>
    <row r="26" spans="1:21" x14ac:dyDescent="0.2">
      <c r="A26" s="29" t="s">
        <v>64</v>
      </c>
      <c r="B26" s="30" t="s">
        <v>40</v>
      </c>
      <c r="C26" s="29">
        <v>37578.548999999999</v>
      </c>
      <c r="D26" s="7"/>
      <c r="E26">
        <f t="shared" si="0"/>
        <v>82.989834718536926</v>
      </c>
      <c r="F26">
        <f t="shared" si="1"/>
        <v>83</v>
      </c>
      <c r="G26">
        <f t="shared" si="2"/>
        <v>-2.8565000000526197E-2</v>
      </c>
      <c r="K26">
        <f>+G26</f>
        <v>-2.8565000000526197E-2</v>
      </c>
      <c r="O26">
        <f t="shared" ca="1" si="3"/>
        <v>1.5962474302750234E-3</v>
      </c>
      <c r="Q26" s="2">
        <f t="shared" si="4"/>
        <v>22560.048999999999</v>
      </c>
    </row>
    <row r="27" spans="1:21" x14ac:dyDescent="0.2">
      <c r="A27" s="29" t="s">
        <v>64</v>
      </c>
      <c r="B27" s="30" t="s">
        <v>40</v>
      </c>
      <c r="C27" s="29">
        <v>38272.576000000001</v>
      </c>
      <c r="D27" s="7"/>
      <c r="E27">
        <f t="shared" si="0"/>
        <v>329.96969810199448</v>
      </c>
      <c r="F27">
        <f t="shared" si="1"/>
        <v>330</v>
      </c>
      <c r="O27">
        <f t="shared" ca="1" si="3"/>
        <v>2.1764545992160331E-3</v>
      </c>
      <c r="Q27" s="2">
        <f t="shared" si="4"/>
        <v>23254.076000000001</v>
      </c>
      <c r="U27">
        <f>+C27-(C$7+F27*C$8)</f>
        <v>-8.5149999998975545E-2</v>
      </c>
    </row>
    <row r="28" spans="1:21" x14ac:dyDescent="0.2">
      <c r="A28" s="29" t="s">
        <v>64</v>
      </c>
      <c r="B28" s="30" t="s">
        <v>40</v>
      </c>
      <c r="C28" s="29">
        <v>38289.523000000001</v>
      </c>
      <c r="D28" s="7"/>
      <c r="E28">
        <f t="shared" si="0"/>
        <v>336.00054091467968</v>
      </c>
      <c r="F28">
        <f t="shared" si="1"/>
        <v>336</v>
      </c>
      <c r="G28">
        <f t="shared" ref="G28:G33" si="5">+C28-(C$7+F28*C$8)</f>
        <v>1.5199999979813583E-3</v>
      </c>
      <c r="K28">
        <f t="shared" ref="K28:K33" si="6">+G28</f>
        <v>1.5199999979813583E-3</v>
      </c>
      <c r="O28">
        <f t="shared" ca="1" si="3"/>
        <v>2.1905487004858551E-3</v>
      </c>
      <c r="Q28" s="2">
        <f t="shared" si="4"/>
        <v>23271.023000000001</v>
      </c>
    </row>
    <row r="29" spans="1:21" x14ac:dyDescent="0.2">
      <c r="A29" s="29" t="s">
        <v>64</v>
      </c>
      <c r="B29" s="30" t="s">
        <v>40</v>
      </c>
      <c r="C29" s="29">
        <v>38331.671999999999</v>
      </c>
      <c r="D29" s="7"/>
      <c r="E29">
        <f t="shared" si="0"/>
        <v>350.99989146119839</v>
      </c>
      <c r="F29">
        <f t="shared" si="1"/>
        <v>351</v>
      </c>
      <c r="G29">
        <f t="shared" si="5"/>
        <v>-3.0500000138999894E-4</v>
      </c>
      <c r="K29">
        <f t="shared" si="6"/>
        <v>-3.0500000138999894E-4</v>
      </c>
      <c r="O29">
        <f t="shared" ca="1" si="3"/>
        <v>2.2257839536604105E-3</v>
      </c>
      <c r="Q29" s="2">
        <f t="shared" si="4"/>
        <v>23313.171999999999</v>
      </c>
    </row>
    <row r="30" spans="1:21" x14ac:dyDescent="0.2">
      <c r="A30" s="29" t="s">
        <v>64</v>
      </c>
      <c r="B30" s="30" t="s">
        <v>40</v>
      </c>
      <c r="C30" s="29">
        <v>38348.546999999999</v>
      </c>
      <c r="D30" s="7"/>
      <c r="E30">
        <f t="shared" si="0"/>
        <v>357.0051119995864</v>
      </c>
      <c r="F30">
        <f t="shared" si="1"/>
        <v>357</v>
      </c>
      <c r="G30">
        <f t="shared" si="5"/>
        <v>1.4364999995450489E-2</v>
      </c>
      <c r="K30">
        <f t="shared" si="6"/>
        <v>1.4364999995450489E-2</v>
      </c>
      <c r="O30">
        <f t="shared" ca="1" si="3"/>
        <v>2.2398780549302325E-3</v>
      </c>
      <c r="Q30" s="2">
        <f t="shared" si="4"/>
        <v>23330.046999999999</v>
      </c>
    </row>
    <row r="31" spans="1:21" x14ac:dyDescent="0.2">
      <c r="A31" s="29" t="s">
        <v>64</v>
      </c>
      <c r="B31" s="30" t="s">
        <v>40</v>
      </c>
      <c r="C31" s="29">
        <v>38410.349000000002</v>
      </c>
      <c r="D31" s="7"/>
      <c r="E31">
        <f t="shared" si="0"/>
        <v>378.99827583445915</v>
      </c>
      <c r="F31">
        <f t="shared" si="1"/>
        <v>379</v>
      </c>
      <c r="G31">
        <f t="shared" si="5"/>
        <v>-4.8449999958393164E-3</v>
      </c>
      <c r="K31">
        <f t="shared" si="6"/>
        <v>-4.8449999958393164E-3</v>
      </c>
      <c r="O31">
        <f t="shared" ca="1" si="3"/>
        <v>2.2915564262529133E-3</v>
      </c>
      <c r="Q31" s="2">
        <f t="shared" si="4"/>
        <v>23391.849000000002</v>
      </c>
    </row>
    <row r="32" spans="1:21" x14ac:dyDescent="0.2">
      <c r="A32" s="29" t="s">
        <v>64</v>
      </c>
      <c r="B32" s="30" t="s">
        <v>40</v>
      </c>
      <c r="C32" s="29">
        <v>39028.563999999998</v>
      </c>
      <c r="D32" s="7"/>
      <c r="E32">
        <f t="shared" si="0"/>
        <v>598.99930784272817</v>
      </c>
      <c r="F32">
        <f t="shared" si="1"/>
        <v>599</v>
      </c>
      <c r="G32">
        <f t="shared" si="5"/>
        <v>-1.9450000036158599E-3</v>
      </c>
      <c r="K32">
        <f t="shared" si="6"/>
        <v>-1.9450000036158599E-3</v>
      </c>
      <c r="O32">
        <f t="shared" ca="1" si="3"/>
        <v>2.8083401394797237E-3</v>
      </c>
      <c r="Q32" s="2">
        <f t="shared" si="4"/>
        <v>24010.063999999998</v>
      </c>
    </row>
    <row r="33" spans="1:25" x14ac:dyDescent="0.2">
      <c r="A33" s="29" t="s">
        <v>64</v>
      </c>
      <c r="B33" s="30" t="s">
        <v>40</v>
      </c>
      <c r="C33" s="29">
        <v>39250.546000000002</v>
      </c>
      <c r="D33" s="7"/>
      <c r="E33">
        <f t="shared" si="0"/>
        <v>677.99491469028226</v>
      </c>
      <c r="F33">
        <f t="shared" si="1"/>
        <v>678</v>
      </c>
      <c r="G33">
        <f t="shared" si="5"/>
        <v>-1.4289999999164138E-2</v>
      </c>
      <c r="K33">
        <f t="shared" si="6"/>
        <v>-1.4289999999164138E-2</v>
      </c>
      <c r="O33">
        <f t="shared" ca="1" si="3"/>
        <v>2.9939124728657145E-3</v>
      </c>
      <c r="Q33" s="2">
        <f t="shared" si="4"/>
        <v>24232.046000000002</v>
      </c>
    </row>
    <row r="34" spans="1:25" x14ac:dyDescent="0.2">
      <c r="A34" s="29" t="s">
        <v>64</v>
      </c>
      <c r="B34" s="30" t="s">
        <v>158</v>
      </c>
      <c r="C34" s="29">
        <v>39285.498</v>
      </c>
      <c r="D34" s="7"/>
      <c r="E34">
        <f t="shared" si="0"/>
        <v>690.43310540185109</v>
      </c>
      <c r="F34">
        <f t="shared" si="1"/>
        <v>690.5</v>
      </c>
      <c r="O34">
        <f t="shared" ca="1" si="3"/>
        <v>3.0232751838445105E-3</v>
      </c>
      <c r="Q34" s="2">
        <f t="shared" si="4"/>
        <v>24266.998</v>
      </c>
      <c r="U34">
        <f>+C34-(C$7+F34*C$8)</f>
        <v>-0.18797749999794178</v>
      </c>
    </row>
    <row r="35" spans="1:25" x14ac:dyDescent="0.2">
      <c r="A35" s="29" t="s">
        <v>64</v>
      </c>
      <c r="B35" s="30" t="s">
        <v>40</v>
      </c>
      <c r="C35" s="29">
        <v>39413.563000000002</v>
      </c>
      <c r="D35" s="7"/>
      <c r="E35">
        <f t="shared" si="0"/>
        <v>736.0069464832543</v>
      </c>
      <c r="F35">
        <f t="shared" si="1"/>
        <v>736</v>
      </c>
      <c r="G35">
        <f t="shared" ref="G35:G46" si="7">+C35-(C$7+F35*C$8)</f>
        <v>1.9520000001648441E-2</v>
      </c>
      <c r="K35">
        <f>+G35</f>
        <v>1.9520000001648441E-2</v>
      </c>
      <c r="O35">
        <f t="shared" ca="1" si="3"/>
        <v>3.130155451807328E-3</v>
      </c>
      <c r="Q35" s="2">
        <f t="shared" si="4"/>
        <v>24395.063000000002</v>
      </c>
    </row>
    <row r="36" spans="1:25" x14ac:dyDescent="0.2">
      <c r="A36" s="29" t="s">
        <v>64</v>
      </c>
      <c r="B36" s="30" t="s">
        <v>40</v>
      </c>
      <c r="C36" s="29">
        <v>40152.597000000002</v>
      </c>
      <c r="D36" s="7"/>
      <c r="E36">
        <f t="shared" si="0"/>
        <v>999.00322235685803</v>
      </c>
      <c r="F36">
        <f t="shared" si="1"/>
        <v>999</v>
      </c>
      <c r="G36">
        <f t="shared" si="7"/>
        <v>9.0550000022631139E-3</v>
      </c>
      <c r="K36">
        <f>+G36</f>
        <v>9.0550000022631139E-3</v>
      </c>
      <c r="O36">
        <f t="shared" ca="1" si="3"/>
        <v>3.7479468908011965E-3</v>
      </c>
      <c r="Q36" s="2">
        <f t="shared" si="4"/>
        <v>25134.097000000002</v>
      </c>
    </row>
    <row r="37" spans="1:25" x14ac:dyDescent="0.2">
      <c r="A37" s="29" t="s">
        <v>64</v>
      </c>
      <c r="B37" s="30" t="s">
        <v>40</v>
      </c>
      <c r="C37" s="29">
        <v>40478.533000000003</v>
      </c>
      <c r="D37" s="7"/>
      <c r="E37">
        <f t="shared" si="0"/>
        <v>1114.9924111805649</v>
      </c>
      <c r="F37">
        <f t="shared" si="1"/>
        <v>1115</v>
      </c>
      <c r="G37">
        <f t="shared" si="7"/>
        <v>-2.1325000001525041E-2</v>
      </c>
      <c r="K37">
        <f>+G37</f>
        <v>-2.1325000001525041E-2</v>
      </c>
      <c r="O37">
        <f t="shared" ca="1" si="3"/>
        <v>4.020432848684424E-3</v>
      </c>
      <c r="Q37" s="2">
        <f t="shared" si="4"/>
        <v>25460.033000000003</v>
      </c>
    </row>
    <row r="38" spans="1:25" s="34" customFormat="1" ht="12" customHeight="1" x14ac:dyDescent="0.2">
      <c r="A38" s="29" t="s">
        <v>64</v>
      </c>
      <c r="B38" s="30" t="s">
        <v>40</v>
      </c>
      <c r="C38" s="29">
        <v>40509.463000000003</v>
      </c>
      <c r="D38" s="67"/>
      <c r="E38" s="34">
        <f t="shared" si="0"/>
        <v>1125.9993131807037</v>
      </c>
      <c r="F38" s="34">
        <f t="shared" si="1"/>
        <v>1126</v>
      </c>
      <c r="G38" s="34">
        <f t="shared" si="7"/>
        <v>-1.9299999985378236E-3</v>
      </c>
      <c r="K38" s="34">
        <f>+G38</f>
        <v>-1.9299999985378236E-3</v>
      </c>
      <c r="O38" s="34">
        <f t="shared" ca="1" si="3"/>
        <v>4.0462720343457641E-3</v>
      </c>
      <c r="Q38" s="35">
        <f t="shared" si="4"/>
        <v>25490.963000000003</v>
      </c>
    </row>
    <row r="39" spans="1:25" s="34" customFormat="1" ht="12" customHeight="1" x14ac:dyDescent="0.2">
      <c r="A39" s="5" t="s">
        <v>29</v>
      </c>
      <c r="B39" s="6"/>
      <c r="C39" s="8">
        <v>52258.315199999997</v>
      </c>
      <c r="D39" s="8">
        <v>2.0000000000000001E-4</v>
      </c>
      <c r="E39" s="34">
        <f t="shared" si="0"/>
        <v>5307.0036707466561</v>
      </c>
      <c r="F39" s="34">
        <f t="shared" si="1"/>
        <v>5307</v>
      </c>
      <c r="G39" s="34">
        <f t="shared" si="7"/>
        <v>1.0314999992260709E-2</v>
      </c>
      <c r="I39" s="34">
        <f>+G39</f>
        <v>1.0314999992260709E-2</v>
      </c>
      <c r="O39" s="34">
        <f t="shared" ca="1" si="3"/>
        <v>1.386751160253346E-2</v>
      </c>
      <c r="Q39" s="35">
        <f t="shared" si="4"/>
        <v>37239.815199999997</v>
      </c>
    </row>
    <row r="40" spans="1:25" s="34" customFormat="1" ht="12" customHeight="1" x14ac:dyDescent="0.2">
      <c r="A40" s="36" t="s">
        <v>31</v>
      </c>
      <c r="B40" s="37"/>
      <c r="C40" s="38">
        <v>53382.338199999998</v>
      </c>
      <c r="D40" s="38">
        <v>8.0000000000000004E-4</v>
      </c>
      <c r="E40" s="34">
        <f t="shared" si="0"/>
        <v>5707.0040266115775</v>
      </c>
      <c r="F40" s="34">
        <f t="shared" si="1"/>
        <v>5707</v>
      </c>
      <c r="G40" s="34">
        <f t="shared" si="7"/>
        <v>1.1314999996102415E-2</v>
      </c>
      <c r="I40" s="34">
        <f>+G40</f>
        <v>1.1314999996102415E-2</v>
      </c>
      <c r="O40" s="34">
        <f t="shared" ca="1" si="3"/>
        <v>1.4807118353854933E-2</v>
      </c>
      <c r="Q40" s="35">
        <f t="shared" si="4"/>
        <v>38363.838199999998</v>
      </c>
    </row>
    <row r="41" spans="1:25" s="34" customFormat="1" ht="12" customHeight="1" x14ac:dyDescent="0.2">
      <c r="A41" s="36" t="s">
        <v>31</v>
      </c>
      <c r="B41" s="37"/>
      <c r="C41" s="38">
        <v>53427.306499999999</v>
      </c>
      <c r="D41" s="38">
        <v>2.8999999999999998E-3</v>
      </c>
      <c r="E41" s="34">
        <f t="shared" si="0"/>
        <v>5723.0066671292898</v>
      </c>
      <c r="F41" s="34">
        <f t="shared" si="1"/>
        <v>5723</v>
      </c>
      <c r="G41" s="34">
        <f t="shared" si="7"/>
        <v>1.8734999997832347E-2</v>
      </c>
      <c r="I41" s="34">
        <f>+G41</f>
        <v>1.8734999997832347E-2</v>
      </c>
      <c r="O41" s="34">
        <f t="shared" ca="1" si="3"/>
        <v>1.4844702623907791E-2</v>
      </c>
      <c r="Q41" s="35">
        <f t="shared" si="4"/>
        <v>38408.806499999999</v>
      </c>
      <c r="U41" s="9"/>
    </row>
    <row r="42" spans="1:25" s="34" customFormat="1" ht="12" customHeight="1" x14ac:dyDescent="0.2">
      <c r="A42" s="29" t="s">
        <v>134</v>
      </c>
      <c r="B42" s="30" t="s">
        <v>40</v>
      </c>
      <c r="C42" s="29">
        <v>55155.4856</v>
      </c>
      <c r="D42" s="67"/>
      <c r="E42" s="34">
        <f t="shared" si="0"/>
        <v>6338.0049856675396</v>
      </c>
      <c r="F42" s="34">
        <f t="shared" si="1"/>
        <v>6338</v>
      </c>
      <c r="G42" s="34">
        <f t="shared" si="7"/>
        <v>1.4009999998961575E-2</v>
      </c>
      <c r="K42" s="34">
        <f>+G42</f>
        <v>1.4009999998961575E-2</v>
      </c>
      <c r="O42" s="34">
        <f t="shared" ca="1" si="3"/>
        <v>1.6289348004064556E-2</v>
      </c>
      <c r="Q42" s="35">
        <f t="shared" si="4"/>
        <v>40136.9856</v>
      </c>
    </row>
    <row r="43" spans="1:25" s="34" customFormat="1" ht="12" customHeight="1" x14ac:dyDescent="0.2">
      <c r="A43" s="10" t="s">
        <v>41</v>
      </c>
      <c r="B43" s="71"/>
      <c r="C43" s="38">
        <v>55166.723599999998</v>
      </c>
      <c r="D43" s="38">
        <v>2.0000000000000001E-4</v>
      </c>
      <c r="E43" s="34">
        <f t="shared" si="0"/>
        <v>6342.0041956474142</v>
      </c>
      <c r="F43" s="34">
        <f t="shared" si="1"/>
        <v>6342</v>
      </c>
      <c r="G43" s="34">
        <f t="shared" si="7"/>
        <v>1.1789999996835832E-2</v>
      </c>
      <c r="I43" s="34">
        <f t="shared" ref="I43:I48" si="8">+G43</f>
        <v>1.1789999996835832E-2</v>
      </c>
      <c r="O43" s="34">
        <f t="shared" ca="1" si="3"/>
        <v>1.6298744071577772E-2</v>
      </c>
      <c r="Q43" s="35">
        <f t="shared" si="4"/>
        <v>40148.223599999998</v>
      </c>
      <c r="Y43" s="34" t="s">
        <v>162</v>
      </c>
    </row>
    <row r="44" spans="1:25" s="34" customFormat="1" ht="12" customHeight="1" x14ac:dyDescent="0.2">
      <c r="A44" s="5" t="s">
        <v>39</v>
      </c>
      <c r="B44" s="39" t="s">
        <v>40</v>
      </c>
      <c r="C44" s="5">
        <v>55197.637300000002</v>
      </c>
      <c r="D44" s="5">
        <v>5.0000000000000001E-4</v>
      </c>
      <c r="E44" s="34">
        <f t="shared" si="0"/>
        <v>6353.0052970493462</v>
      </c>
      <c r="F44" s="34">
        <f t="shared" si="1"/>
        <v>6353</v>
      </c>
      <c r="G44" s="34">
        <f t="shared" si="7"/>
        <v>1.48849999968661E-2</v>
      </c>
      <c r="I44" s="34">
        <f t="shared" si="8"/>
        <v>1.48849999968661E-2</v>
      </c>
      <c r="O44" s="34">
        <f t="shared" ca="1" si="3"/>
        <v>1.6324583257239112E-2</v>
      </c>
      <c r="Q44" s="35">
        <f t="shared" si="4"/>
        <v>40179.137300000002</v>
      </c>
    </row>
    <row r="45" spans="1:25" s="34" customFormat="1" ht="12" customHeight="1" x14ac:dyDescent="0.2">
      <c r="A45" s="5" t="s">
        <v>44</v>
      </c>
      <c r="B45" s="39" t="s">
        <v>40</v>
      </c>
      <c r="C45" s="5">
        <v>55481.450799999999</v>
      </c>
      <c r="D45" s="5">
        <v>2.9999999999999997E-4</v>
      </c>
      <c r="E45" s="34">
        <f t="shared" si="0"/>
        <v>6454.0045657469327</v>
      </c>
      <c r="F45" s="34">
        <f t="shared" si="1"/>
        <v>6454</v>
      </c>
      <c r="G45" s="34">
        <f t="shared" si="7"/>
        <v>1.2829999999667052E-2</v>
      </c>
      <c r="I45" s="34">
        <f t="shared" si="8"/>
        <v>1.2829999999667052E-2</v>
      </c>
      <c r="O45" s="34">
        <f t="shared" ca="1" si="3"/>
        <v>1.6561833961947783E-2</v>
      </c>
      <c r="Q45" s="35">
        <f t="shared" si="4"/>
        <v>40462.950799999999</v>
      </c>
    </row>
    <row r="46" spans="1:25" s="34" customFormat="1" ht="12" customHeight="1" x14ac:dyDescent="0.2">
      <c r="A46" s="11" t="s">
        <v>45</v>
      </c>
      <c r="B46" s="12" t="s">
        <v>40</v>
      </c>
      <c r="C46" s="13">
        <v>56650.4303</v>
      </c>
      <c r="D46" s="14">
        <v>7.4000000000000003E-3</v>
      </c>
      <c r="E46" s="34">
        <f t="shared" si="0"/>
        <v>6870.0033629235004</v>
      </c>
      <c r="F46" s="34">
        <f t="shared" si="1"/>
        <v>6870</v>
      </c>
      <c r="G46" s="34">
        <f t="shared" si="7"/>
        <v>9.4499999977415428E-3</v>
      </c>
      <c r="I46" s="34">
        <f t="shared" si="8"/>
        <v>9.4499999977415428E-3</v>
      </c>
      <c r="O46" s="34">
        <f t="shared" ca="1" si="3"/>
        <v>1.7539024983322118E-2</v>
      </c>
      <c r="Q46" s="35">
        <f t="shared" si="4"/>
        <v>41631.9303</v>
      </c>
      <c r="U46" s="15"/>
    </row>
    <row r="47" spans="1:25" s="34" customFormat="1" ht="12" customHeight="1" x14ac:dyDescent="0.2">
      <c r="A47" s="31" t="s">
        <v>159</v>
      </c>
      <c r="B47" s="32" t="s">
        <v>40</v>
      </c>
      <c r="C47" s="68">
        <v>59620.6679</v>
      </c>
      <c r="D47" s="69">
        <v>2.8999999999999998E-3</v>
      </c>
      <c r="E47" s="34">
        <f t="shared" ref="E47" si="9">+(C47-C$7)/C$8</f>
        <v>7927.0067311849762</v>
      </c>
      <c r="F47" s="34">
        <f t="shared" ref="F47" si="10">ROUND(2*E47,0)/2</f>
        <v>7927</v>
      </c>
      <c r="G47" s="34">
        <f t="shared" ref="G47" si="11">+C47-(C$7+F47*C$8)</f>
        <v>1.8914999993285164E-2</v>
      </c>
      <c r="I47" s="34">
        <f t="shared" si="8"/>
        <v>1.8914999993285164E-2</v>
      </c>
      <c r="O47" s="34">
        <f t="shared" ref="O47" ca="1" si="12">+C$11+C$12*$F47</f>
        <v>2.0021935823689108E-2</v>
      </c>
      <c r="Q47" s="35">
        <f t="shared" ref="Q47" si="13">+C47-15018.5</f>
        <v>44602.1679</v>
      </c>
    </row>
    <row r="48" spans="1:25" s="34" customFormat="1" ht="12" customHeight="1" x14ac:dyDescent="0.2">
      <c r="A48" s="40" t="s">
        <v>160</v>
      </c>
      <c r="B48" s="72" t="s">
        <v>40</v>
      </c>
      <c r="C48" s="70">
        <v>59855.331799999811</v>
      </c>
      <c r="D48" s="69">
        <v>2.0000000000000001E-4</v>
      </c>
      <c r="E48" s="34">
        <f t="shared" ref="E48" si="14">+(C48-C$7)/C$8</f>
        <v>8010.5153813714705</v>
      </c>
      <c r="F48" s="34">
        <f t="shared" ref="F48" si="15">ROUND(2*E48,0)/2</f>
        <v>8010.5</v>
      </c>
      <c r="G48" s="34">
        <f t="shared" ref="G48" si="16">+C48-(C$7+F48*C$8)</f>
        <v>4.3222499807598069E-2</v>
      </c>
      <c r="I48" s="34">
        <f t="shared" si="8"/>
        <v>4.3222499807598069E-2</v>
      </c>
      <c r="O48" s="34">
        <f t="shared" ref="O48" ca="1" si="17">+C$11+C$12*$F48</f>
        <v>2.0218078733027466E-2</v>
      </c>
      <c r="Q48" s="35">
        <f t="shared" ref="Q48" si="18">+C48-15018.5</f>
        <v>44836.831799999811</v>
      </c>
    </row>
    <row r="49" spans="2:4" s="34" customFormat="1" ht="12" customHeight="1" x14ac:dyDescent="0.2">
      <c r="B49" s="33"/>
      <c r="C49" s="67"/>
      <c r="D49" s="67"/>
    </row>
    <row r="50" spans="2:4" s="34" customFormat="1" ht="12" customHeight="1" x14ac:dyDescent="0.2">
      <c r="B50" s="33"/>
      <c r="C50" s="67"/>
      <c r="D50" s="67"/>
    </row>
    <row r="51" spans="2:4" s="34" customFormat="1" ht="12" customHeight="1" x14ac:dyDescent="0.2">
      <c r="B51" s="33"/>
      <c r="C51" s="67"/>
      <c r="D51" s="67"/>
    </row>
    <row r="52" spans="2:4" s="34" customFormat="1" ht="12" customHeight="1" x14ac:dyDescent="0.2">
      <c r="D52" s="3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8"/>
  <sheetViews>
    <sheetView workbookViewId="0">
      <selection activeCell="A18" sqref="A18:C35"/>
    </sheetView>
  </sheetViews>
  <sheetFormatPr defaultRowHeight="12.75" x14ac:dyDescent="0.2"/>
  <cols>
    <col min="1" max="1" width="19.7109375" style="7" customWidth="1"/>
    <col min="2" max="2" width="4.42578125" style="4" customWidth="1"/>
    <col min="3" max="3" width="12.7109375" style="7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7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6" t="s">
        <v>48</v>
      </c>
      <c r="I1" s="17" t="s">
        <v>49</v>
      </c>
      <c r="J1" s="18" t="s">
        <v>50</v>
      </c>
    </row>
    <row r="2" spans="1:16" x14ac:dyDescent="0.2">
      <c r="I2" s="19" t="s">
        <v>51</v>
      </c>
      <c r="J2" s="20" t="s">
        <v>52</v>
      </c>
    </row>
    <row r="3" spans="1:16" x14ac:dyDescent="0.2">
      <c r="A3" s="21" t="s">
        <v>53</v>
      </c>
      <c r="I3" s="19" t="s">
        <v>54</v>
      </c>
      <c r="J3" s="20" t="s">
        <v>55</v>
      </c>
    </row>
    <row r="4" spans="1:16" x14ac:dyDescent="0.2">
      <c r="I4" s="19" t="s">
        <v>56</v>
      </c>
      <c r="J4" s="20" t="s">
        <v>55</v>
      </c>
    </row>
    <row r="5" spans="1:16" ht="13.5" thickBot="1" x14ac:dyDescent="0.25">
      <c r="I5" s="22" t="s">
        <v>57</v>
      </c>
      <c r="J5" s="23" t="s">
        <v>58</v>
      </c>
    </row>
    <row r="10" spans="1:16" ht="13.5" thickBot="1" x14ac:dyDescent="0.25"/>
    <row r="11" spans="1:16" ht="12.75" customHeight="1" thickBot="1" x14ac:dyDescent="0.25">
      <c r="A11" s="7" t="str">
        <f t="shared" ref="A11:A35" si="0">P11</f>
        <v>BAVM 152 </v>
      </c>
      <c r="B11" s="3" t="str">
        <f t="shared" ref="B11:B35" si="1">IF(H11=INT(H11),"I","II")</f>
        <v>I</v>
      </c>
      <c r="C11" s="7">
        <f t="shared" ref="C11:C35" si="2">1*G11</f>
        <v>52258.315199999997</v>
      </c>
      <c r="D11" s="4" t="str">
        <f t="shared" ref="D11:D35" si="3">VLOOKUP(F11,I$1:J$5,2,FALSE)</f>
        <v>vis</v>
      </c>
      <c r="E11" s="24">
        <f>VLOOKUP(C11,Active!C$21:E$973,3,FALSE)</f>
        <v>5307.0036707466561</v>
      </c>
      <c r="F11" s="3" t="s">
        <v>57</v>
      </c>
      <c r="G11" s="4" t="str">
        <f t="shared" ref="G11:G35" si="4">MID(I11,3,LEN(I11)-3)</f>
        <v>52258.3152</v>
      </c>
      <c r="H11" s="7">
        <f t="shared" ref="H11:H35" si="5">1*K11</f>
        <v>5307</v>
      </c>
      <c r="I11" s="25" t="s">
        <v>112</v>
      </c>
      <c r="J11" s="26" t="s">
        <v>113</v>
      </c>
      <c r="K11" s="25">
        <v>5307</v>
      </c>
      <c r="L11" s="25" t="s">
        <v>114</v>
      </c>
      <c r="M11" s="26" t="s">
        <v>115</v>
      </c>
      <c r="N11" s="26" t="s">
        <v>116</v>
      </c>
      <c r="O11" s="27" t="s">
        <v>117</v>
      </c>
      <c r="P11" s="28" t="s">
        <v>118</v>
      </c>
    </row>
    <row r="12" spans="1:16" ht="12.75" customHeight="1" thickBot="1" x14ac:dyDescent="0.25">
      <c r="A12" s="7" t="str">
        <f t="shared" si="0"/>
        <v>BAVM 173 </v>
      </c>
      <c r="B12" s="3" t="str">
        <f t="shared" si="1"/>
        <v>I</v>
      </c>
      <c r="C12" s="7">
        <f t="shared" si="2"/>
        <v>53382.338199999998</v>
      </c>
      <c r="D12" s="4" t="str">
        <f t="shared" si="3"/>
        <v>vis</v>
      </c>
      <c r="E12" s="24">
        <f>VLOOKUP(C12,Active!C$21:E$973,3,FALSE)</f>
        <v>5707.0040266115775</v>
      </c>
      <c r="F12" s="3" t="s">
        <v>57</v>
      </c>
      <c r="G12" s="4" t="str">
        <f t="shared" si="4"/>
        <v>53382.3382</v>
      </c>
      <c r="H12" s="7">
        <f t="shared" si="5"/>
        <v>5707</v>
      </c>
      <c r="I12" s="25" t="s">
        <v>119</v>
      </c>
      <c r="J12" s="26" t="s">
        <v>120</v>
      </c>
      <c r="K12" s="25">
        <v>5707</v>
      </c>
      <c r="L12" s="25" t="s">
        <v>121</v>
      </c>
      <c r="M12" s="26" t="s">
        <v>115</v>
      </c>
      <c r="N12" s="26" t="s">
        <v>122</v>
      </c>
      <c r="O12" s="27" t="s">
        <v>117</v>
      </c>
      <c r="P12" s="28" t="s">
        <v>123</v>
      </c>
    </row>
    <row r="13" spans="1:16" ht="12.75" customHeight="1" thickBot="1" x14ac:dyDescent="0.25">
      <c r="A13" s="7" t="str">
        <f t="shared" si="0"/>
        <v>BAVM 173 </v>
      </c>
      <c r="B13" s="3" t="str">
        <f t="shared" si="1"/>
        <v>I</v>
      </c>
      <c r="C13" s="7">
        <f t="shared" si="2"/>
        <v>53427.306499999999</v>
      </c>
      <c r="D13" s="4" t="str">
        <f t="shared" si="3"/>
        <v>vis</v>
      </c>
      <c r="E13" s="24">
        <f>VLOOKUP(C13,Active!C$21:E$973,3,FALSE)</f>
        <v>5723.0066671292898</v>
      </c>
      <c r="F13" s="3" t="s">
        <v>57</v>
      </c>
      <c r="G13" s="4" t="str">
        <f t="shared" si="4"/>
        <v>53427.3065</v>
      </c>
      <c r="H13" s="7">
        <f t="shared" si="5"/>
        <v>5723</v>
      </c>
      <c r="I13" s="25" t="s">
        <v>124</v>
      </c>
      <c r="J13" s="26" t="s">
        <v>125</v>
      </c>
      <c r="K13" s="25" t="s">
        <v>126</v>
      </c>
      <c r="L13" s="25" t="s">
        <v>127</v>
      </c>
      <c r="M13" s="26" t="s">
        <v>115</v>
      </c>
      <c r="N13" s="26" t="s">
        <v>116</v>
      </c>
      <c r="O13" s="27" t="s">
        <v>128</v>
      </c>
      <c r="P13" s="28" t="s">
        <v>123</v>
      </c>
    </row>
    <row r="14" spans="1:16" ht="12.75" customHeight="1" thickBot="1" x14ac:dyDescent="0.25">
      <c r="A14" s="7" t="str">
        <f t="shared" si="0"/>
        <v>IBVS 5929 </v>
      </c>
      <c r="B14" s="3" t="str">
        <f t="shared" si="1"/>
        <v>I</v>
      </c>
      <c r="C14" s="7">
        <f t="shared" si="2"/>
        <v>55166.723599999998</v>
      </c>
      <c r="D14" s="4" t="str">
        <f t="shared" si="3"/>
        <v>vis</v>
      </c>
      <c r="E14" s="24">
        <f>VLOOKUP(C14,Active!C$21:E$973,3,FALSE)</f>
        <v>6342.0041956474142</v>
      </c>
      <c r="F14" s="3" t="s">
        <v>57</v>
      </c>
      <c r="G14" s="4" t="str">
        <f t="shared" si="4"/>
        <v>55166.7236</v>
      </c>
      <c r="H14" s="7">
        <f t="shared" si="5"/>
        <v>6342</v>
      </c>
      <c r="I14" s="25" t="s">
        <v>135</v>
      </c>
      <c r="J14" s="26" t="s">
        <v>136</v>
      </c>
      <c r="K14" s="25" t="s">
        <v>137</v>
      </c>
      <c r="L14" s="25" t="s">
        <v>138</v>
      </c>
      <c r="M14" s="26" t="s">
        <v>133</v>
      </c>
      <c r="N14" s="26" t="s">
        <v>49</v>
      </c>
      <c r="O14" s="27" t="s">
        <v>139</v>
      </c>
      <c r="P14" s="28" t="s">
        <v>140</v>
      </c>
    </row>
    <row r="15" spans="1:16" ht="12.75" customHeight="1" thickBot="1" x14ac:dyDescent="0.25">
      <c r="A15" s="7" t="str">
        <f t="shared" si="0"/>
        <v>IBVS 5920 </v>
      </c>
      <c r="B15" s="3" t="str">
        <f t="shared" si="1"/>
        <v>I</v>
      </c>
      <c r="C15" s="7">
        <f t="shared" si="2"/>
        <v>55197.637300000002</v>
      </c>
      <c r="D15" s="4" t="str">
        <f t="shared" si="3"/>
        <v>vis</v>
      </c>
      <c r="E15" s="24">
        <f>VLOOKUP(C15,Active!C$21:E$973,3,FALSE)</f>
        <v>6353.0052970493462</v>
      </c>
      <c r="F15" s="3" t="s">
        <v>57</v>
      </c>
      <c r="G15" s="4" t="str">
        <f t="shared" si="4"/>
        <v>55197.6373</v>
      </c>
      <c r="H15" s="7">
        <f t="shared" si="5"/>
        <v>6353</v>
      </c>
      <c r="I15" s="25" t="s">
        <v>141</v>
      </c>
      <c r="J15" s="26" t="s">
        <v>142</v>
      </c>
      <c r="K15" s="25" t="s">
        <v>143</v>
      </c>
      <c r="L15" s="25" t="s">
        <v>144</v>
      </c>
      <c r="M15" s="26" t="s">
        <v>133</v>
      </c>
      <c r="N15" s="26" t="s">
        <v>57</v>
      </c>
      <c r="O15" s="27" t="s">
        <v>145</v>
      </c>
      <c r="P15" s="28" t="s">
        <v>146</v>
      </c>
    </row>
    <row r="16" spans="1:16" ht="12.75" customHeight="1" thickBot="1" x14ac:dyDescent="0.25">
      <c r="A16" s="7" t="str">
        <f t="shared" si="0"/>
        <v>BAVM 220 </v>
      </c>
      <c r="B16" s="3" t="str">
        <f t="shared" si="1"/>
        <v>I</v>
      </c>
      <c r="C16" s="7">
        <f t="shared" si="2"/>
        <v>55481.450799999999</v>
      </c>
      <c r="D16" s="4" t="str">
        <f t="shared" si="3"/>
        <v>vis</v>
      </c>
      <c r="E16" s="24">
        <f>VLOOKUP(C16,Active!C$21:E$973,3,FALSE)</f>
        <v>6454.0045657469327</v>
      </c>
      <c r="F16" s="3" t="s">
        <v>57</v>
      </c>
      <c r="G16" s="4" t="str">
        <f t="shared" si="4"/>
        <v>55481.4508</v>
      </c>
      <c r="H16" s="7">
        <f t="shared" si="5"/>
        <v>6454</v>
      </c>
      <c r="I16" s="25" t="s">
        <v>147</v>
      </c>
      <c r="J16" s="26" t="s">
        <v>148</v>
      </c>
      <c r="K16" s="25" t="s">
        <v>149</v>
      </c>
      <c r="L16" s="25" t="s">
        <v>150</v>
      </c>
      <c r="M16" s="26" t="s">
        <v>133</v>
      </c>
      <c r="N16" s="26" t="s">
        <v>116</v>
      </c>
      <c r="O16" s="27" t="s">
        <v>151</v>
      </c>
      <c r="P16" s="28" t="s">
        <v>152</v>
      </c>
    </row>
    <row r="17" spans="1:16" ht="12.75" customHeight="1" thickBot="1" x14ac:dyDescent="0.25">
      <c r="A17" s="7" t="str">
        <f t="shared" si="0"/>
        <v>BAVM 234 </v>
      </c>
      <c r="B17" s="3" t="str">
        <f t="shared" si="1"/>
        <v>I</v>
      </c>
      <c r="C17" s="7">
        <f t="shared" si="2"/>
        <v>56650.4303</v>
      </c>
      <c r="D17" s="4" t="str">
        <f t="shared" si="3"/>
        <v>vis</v>
      </c>
      <c r="E17" s="24">
        <f>VLOOKUP(C17,Active!C$21:E$973,3,FALSE)</f>
        <v>6870.0033629235004</v>
      </c>
      <c r="F17" s="3" t="s">
        <v>57</v>
      </c>
      <c r="G17" s="4" t="str">
        <f t="shared" si="4"/>
        <v>56650.4303</v>
      </c>
      <c r="H17" s="7">
        <f t="shared" si="5"/>
        <v>6870</v>
      </c>
      <c r="I17" s="25" t="s">
        <v>153</v>
      </c>
      <c r="J17" s="26" t="s">
        <v>154</v>
      </c>
      <c r="K17" s="25" t="s">
        <v>155</v>
      </c>
      <c r="L17" s="25" t="s">
        <v>156</v>
      </c>
      <c r="M17" s="26" t="s">
        <v>133</v>
      </c>
      <c r="N17" s="26" t="s">
        <v>122</v>
      </c>
      <c r="O17" s="27" t="s">
        <v>117</v>
      </c>
      <c r="P17" s="28" t="s">
        <v>157</v>
      </c>
    </row>
    <row r="18" spans="1:16" ht="12.75" customHeight="1" thickBot="1" x14ac:dyDescent="0.25">
      <c r="A18" s="7" t="str">
        <f t="shared" si="0"/>
        <v> MHAR 12.13 </v>
      </c>
      <c r="B18" s="3" t="str">
        <f t="shared" si="1"/>
        <v>I</v>
      </c>
      <c r="C18" s="7">
        <f t="shared" si="2"/>
        <v>29516.522000000001</v>
      </c>
      <c r="D18" s="4" t="str">
        <f t="shared" si="3"/>
        <v>vis</v>
      </c>
      <c r="E18" s="24">
        <f>VLOOKUP(C18,Active!C$21:E$973,3,FALSE)</f>
        <v>-2786.0027650704342</v>
      </c>
      <c r="F18" s="3" t="s">
        <v>57</v>
      </c>
      <c r="G18" s="4" t="str">
        <f t="shared" si="4"/>
        <v>29516.522</v>
      </c>
      <c r="H18" s="7">
        <f t="shared" si="5"/>
        <v>-2786</v>
      </c>
      <c r="I18" s="25" t="s">
        <v>59</v>
      </c>
      <c r="J18" s="26" t="s">
        <v>60</v>
      </c>
      <c r="K18" s="25">
        <v>-2786</v>
      </c>
      <c r="L18" s="25" t="s">
        <v>61</v>
      </c>
      <c r="M18" s="26" t="s">
        <v>62</v>
      </c>
      <c r="N18" s="26"/>
      <c r="O18" s="27" t="s">
        <v>63</v>
      </c>
      <c r="P18" s="27" t="s">
        <v>64</v>
      </c>
    </row>
    <row r="19" spans="1:16" ht="12.75" customHeight="1" thickBot="1" x14ac:dyDescent="0.25">
      <c r="A19" s="7" t="str">
        <f t="shared" si="0"/>
        <v> MHAR 12.13 </v>
      </c>
      <c r="B19" s="3" t="str">
        <f t="shared" si="1"/>
        <v>I</v>
      </c>
      <c r="C19" s="7">
        <f t="shared" si="2"/>
        <v>37286.373</v>
      </c>
      <c r="D19" s="4" t="str">
        <f t="shared" si="3"/>
        <v>vis</v>
      </c>
      <c r="E19" s="24">
        <f>VLOOKUP(C19,Active!C$21:E$973,3,FALSE)</f>
        <v>-20.985354379185161</v>
      </c>
      <c r="F19" s="3" t="s">
        <v>57</v>
      </c>
      <c r="G19" s="4" t="str">
        <f t="shared" si="4"/>
        <v>37286.373</v>
      </c>
      <c r="H19" s="7">
        <f t="shared" si="5"/>
        <v>-21</v>
      </c>
      <c r="I19" s="25" t="s">
        <v>65</v>
      </c>
      <c r="J19" s="26" t="s">
        <v>66</v>
      </c>
      <c r="K19" s="25">
        <v>-21</v>
      </c>
      <c r="L19" s="25" t="s">
        <v>67</v>
      </c>
      <c r="M19" s="26" t="s">
        <v>62</v>
      </c>
      <c r="N19" s="26"/>
      <c r="O19" s="27" t="s">
        <v>63</v>
      </c>
      <c r="P19" s="27" t="s">
        <v>64</v>
      </c>
    </row>
    <row r="20" spans="1:16" ht="12.75" customHeight="1" thickBot="1" x14ac:dyDescent="0.25">
      <c r="A20" s="7" t="str">
        <f t="shared" si="0"/>
        <v> MHAR 12.13 </v>
      </c>
      <c r="B20" s="3" t="str">
        <f t="shared" si="1"/>
        <v>I</v>
      </c>
      <c r="C20" s="7">
        <f t="shared" si="2"/>
        <v>37345.319000000003</v>
      </c>
      <c r="D20" s="4" t="str">
        <f t="shared" si="3"/>
        <v>vis</v>
      </c>
      <c r="E20" s="24">
        <f>VLOOKUP(C20,Active!C$21:E$973,3,FALSE)</f>
        <v>-8.5407580981914887E-3</v>
      </c>
      <c r="F20" s="3" t="s">
        <v>57</v>
      </c>
      <c r="G20" s="4" t="str">
        <f t="shared" si="4"/>
        <v>37345.319</v>
      </c>
      <c r="H20" s="7">
        <f t="shared" si="5"/>
        <v>0</v>
      </c>
      <c r="I20" s="25" t="s">
        <v>68</v>
      </c>
      <c r="J20" s="26" t="s">
        <v>69</v>
      </c>
      <c r="K20" s="25">
        <v>0</v>
      </c>
      <c r="L20" s="25" t="s">
        <v>70</v>
      </c>
      <c r="M20" s="26" t="s">
        <v>62</v>
      </c>
      <c r="N20" s="26"/>
      <c r="O20" s="27" t="s">
        <v>63</v>
      </c>
      <c r="P20" s="27" t="s">
        <v>64</v>
      </c>
    </row>
    <row r="21" spans="1:16" ht="12.75" customHeight="1" thickBot="1" x14ac:dyDescent="0.25">
      <c r="A21" s="7" t="str">
        <f t="shared" si="0"/>
        <v> MHAR 12.13 </v>
      </c>
      <c r="B21" s="3" t="str">
        <f t="shared" si="1"/>
        <v>I</v>
      </c>
      <c r="C21" s="7">
        <f t="shared" si="2"/>
        <v>37376.305999999997</v>
      </c>
      <c r="D21" s="4" t="str">
        <f t="shared" si="3"/>
        <v>vis</v>
      </c>
      <c r="E21" s="24">
        <f>VLOOKUP(C21,Active!C$21:E$973,3,FALSE)</f>
        <v>11.018645542523579</v>
      </c>
      <c r="F21" s="3" t="s">
        <v>57</v>
      </c>
      <c r="G21" s="4" t="str">
        <f t="shared" si="4"/>
        <v>37376.306</v>
      </c>
      <c r="H21" s="7">
        <f t="shared" si="5"/>
        <v>11</v>
      </c>
      <c r="I21" s="25" t="s">
        <v>71</v>
      </c>
      <c r="J21" s="26" t="s">
        <v>72</v>
      </c>
      <c r="K21" s="25">
        <v>11</v>
      </c>
      <c r="L21" s="25" t="s">
        <v>73</v>
      </c>
      <c r="M21" s="26" t="s">
        <v>62</v>
      </c>
      <c r="N21" s="26"/>
      <c r="O21" s="27" t="s">
        <v>63</v>
      </c>
      <c r="P21" s="27" t="s">
        <v>64</v>
      </c>
    </row>
    <row r="22" spans="1:16" ht="12.75" customHeight="1" thickBot="1" x14ac:dyDescent="0.25">
      <c r="A22" s="7" t="str">
        <f t="shared" si="0"/>
        <v> MHAR 12.13 </v>
      </c>
      <c r="B22" s="3" t="str">
        <f t="shared" si="1"/>
        <v>I</v>
      </c>
      <c r="C22" s="7">
        <f t="shared" si="2"/>
        <v>37578.548999999999</v>
      </c>
      <c r="D22" s="4" t="str">
        <f t="shared" si="3"/>
        <v>vis</v>
      </c>
      <c r="E22" s="24">
        <f>VLOOKUP(C22,Active!C$21:E$973,3,FALSE)</f>
        <v>82.989834718536926</v>
      </c>
      <c r="F22" s="3" t="s">
        <v>57</v>
      </c>
      <c r="G22" s="4" t="str">
        <f t="shared" si="4"/>
        <v>37578.549</v>
      </c>
      <c r="H22" s="7">
        <f t="shared" si="5"/>
        <v>83</v>
      </c>
      <c r="I22" s="25" t="s">
        <v>74</v>
      </c>
      <c r="J22" s="26" t="s">
        <v>75</v>
      </c>
      <c r="K22" s="25">
        <v>83</v>
      </c>
      <c r="L22" s="25" t="s">
        <v>76</v>
      </c>
      <c r="M22" s="26" t="s">
        <v>62</v>
      </c>
      <c r="N22" s="26"/>
      <c r="O22" s="27" t="s">
        <v>63</v>
      </c>
      <c r="P22" s="27" t="s">
        <v>64</v>
      </c>
    </row>
    <row r="23" spans="1:16" ht="12.75" customHeight="1" thickBot="1" x14ac:dyDescent="0.25">
      <c r="A23" s="7" t="str">
        <f t="shared" si="0"/>
        <v> MHAR 12.13 </v>
      </c>
      <c r="B23" s="3" t="str">
        <f t="shared" si="1"/>
        <v>I</v>
      </c>
      <c r="C23" s="7">
        <f t="shared" si="2"/>
        <v>38272.576000000001</v>
      </c>
      <c r="D23" s="4" t="str">
        <f t="shared" si="3"/>
        <v>vis</v>
      </c>
      <c r="E23" s="24">
        <f>VLOOKUP(C23,Active!C$21:E$973,3,FALSE)</f>
        <v>329.96969810199448</v>
      </c>
      <c r="F23" s="3" t="s">
        <v>57</v>
      </c>
      <c r="G23" s="4" t="str">
        <f t="shared" si="4"/>
        <v>38272.576</v>
      </c>
      <c r="H23" s="7">
        <f t="shared" si="5"/>
        <v>330</v>
      </c>
      <c r="I23" s="25" t="s">
        <v>77</v>
      </c>
      <c r="J23" s="26" t="s">
        <v>78</v>
      </c>
      <c r="K23" s="25">
        <v>330</v>
      </c>
      <c r="L23" s="25" t="s">
        <v>79</v>
      </c>
      <c r="M23" s="26" t="s">
        <v>62</v>
      </c>
      <c r="N23" s="26"/>
      <c r="O23" s="27" t="s">
        <v>63</v>
      </c>
      <c r="P23" s="27" t="s">
        <v>64</v>
      </c>
    </row>
    <row r="24" spans="1:16" ht="12.75" customHeight="1" thickBot="1" x14ac:dyDescent="0.25">
      <c r="A24" s="7" t="str">
        <f t="shared" si="0"/>
        <v> MHAR 12.13 </v>
      </c>
      <c r="B24" s="3" t="str">
        <f t="shared" si="1"/>
        <v>I</v>
      </c>
      <c r="C24" s="7">
        <f t="shared" si="2"/>
        <v>38289.523000000001</v>
      </c>
      <c r="D24" s="4" t="str">
        <f t="shared" si="3"/>
        <v>vis</v>
      </c>
      <c r="E24" s="24">
        <f>VLOOKUP(C24,Active!C$21:E$973,3,FALSE)</f>
        <v>336.00054091467968</v>
      </c>
      <c r="F24" s="3" t="s">
        <v>57</v>
      </c>
      <c r="G24" s="4" t="str">
        <f t="shared" si="4"/>
        <v>38289.523</v>
      </c>
      <c r="H24" s="7">
        <f t="shared" si="5"/>
        <v>336</v>
      </c>
      <c r="I24" s="25" t="s">
        <v>80</v>
      </c>
      <c r="J24" s="26" t="s">
        <v>81</v>
      </c>
      <c r="K24" s="25">
        <v>336</v>
      </c>
      <c r="L24" s="25" t="s">
        <v>82</v>
      </c>
      <c r="M24" s="26" t="s">
        <v>62</v>
      </c>
      <c r="N24" s="26"/>
      <c r="O24" s="27" t="s">
        <v>63</v>
      </c>
      <c r="P24" s="27" t="s">
        <v>64</v>
      </c>
    </row>
    <row r="25" spans="1:16" ht="12.75" customHeight="1" thickBot="1" x14ac:dyDescent="0.25">
      <c r="A25" s="7" t="str">
        <f t="shared" si="0"/>
        <v> MHAR 12.13 </v>
      </c>
      <c r="B25" s="3" t="str">
        <f t="shared" si="1"/>
        <v>I</v>
      </c>
      <c r="C25" s="7">
        <f t="shared" si="2"/>
        <v>38331.671999999999</v>
      </c>
      <c r="D25" s="4" t="str">
        <f t="shared" si="3"/>
        <v>vis</v>
      </c>
      <c r="E25" s="24">
        <f>VLOOKUP(C25,Active!C$21:E$973,3,FALSE)</f>
        <v>350.99989146119839</v>
      </c>
      <c r="F25" s="3" t="s">
        <v>57</v>
      </c>
      <c r="G25" s="4" t="str">
        <f t="shared" si="4"/>
        <v>38331.672</v>
      </c>
      <c r="H25" s="7">
        <f t="shared" si="5"/>
        <v>351</v>
      </c>
      <c r="I25" s="25" t="s">
        <v>83</v>
      </c>
      <c r="J25" s="26" t="s">
        <v>84</v>
      </c>
      <c r="K25" s="25">
        <v>351</v>
      </c>
      <c r="L25" s="25" t="s">
        <v>85</v>
      </c>
      <c r="M25" s="26" t="s">
        <v>62</v>
      </c>
      <c r="N25" s="26"/>
      <c r="O25" s="27" t="s">
        <v>63</v>
      </c>
      <c r="P25" s="27" t="s">
        <v>64</v>
      </c>
    </row>
    <row r="26" spans="1:16" ht="12.75" customHeight="1" thickBot="1" x14ac:dyDescent="0.25">
      <c r="A26" s="7" t="str">
        <f t="shared" si="0"/>
        <v> MHAR 12.13 </v>
      </c>
      <c r="B26" s="3" t="str">
        <f t="shared" si="1"/>
        <v>I</v>
      </c>
      <c r="C26" s="7">
        <f t="shared" si="2"/>
        <v>38348.546999999999</v>
      </c>
      <c r="D26" s="4" t="str">
        <f t="shared" si="3"/>
        <v>vis</v>
      </c>
      <c r="E26" s="24">
        <f>VLOOKUP(C26,Active!C$21:E$973,3,FALSE)</f>
        <v>357.0051119995864</v>
      </c>
      <c r="F26" s="3" t="s">
        <v>57</v>
      </c>
      <c r="G26" s="4" t="str">
        <f t="shared" si="4"/>
        <v>38348.547</v>
      </c>
      <c r="H26" s="7">
        <f t="shared" si="5"/>
        <v>357</v>
      </c>
      <c r="I26" s="25" t="s">
        <v>86</v>
      </c>
      <c r="J26" s="26" t="s">
        <v>87</v>
      </c>
      <c r="K26" s="25">
        <v>357</v>
      </c>
      <c r="L26" s="25" t="s">
        <v>88</v>
      </c>
      <c r="M26" s="26" t="s">
        <v>62</v>
      </c>
      <c r="N26" s="26"/>
      <c r="O26" s="27" t="s">
        <v>63</v>
      </c>
      <c r="P26" s="27" t="s">
        <v>64</v>
      </c>
    </row>
    <row r="27" spans="1:16" ht="12.75" customHeight="1" thickBot="1" x14ac:dyDescent="0.25">
      <c r="A27" s="7" t="str">
        <f t="shared" si="0"/>
        <v> MHAR 12.13 </v>
      </c>
      <c r="B27" s="3" t="str">
        <f t="shared" si="1"/>
        <v>I</v>
      </c>
      <c r="C27" s="7">
        <f t="shared" si="2"/>
        <v>38410.349000000002</v>
      </c>
      <c r="D27" s="4" t="str">
        <f t="shared" si="3"/>
        <v>vis</v>
      </c>
      <c r="E27" s="24">
        <f>VLOOKUP(C27,Active!C$21:E$973,3,FALSE)</f>
        <v>378.99827583445915</v>
      </c>
      <c r="F27" s="3" t="s">
        <v>57</v>
      </c>
      <c r="G27" s="4" t="str">
        <f t="shared" si="4"/>
        <v>38410.349</v>
      </c>
      <c r="H27" s="7">
        <f t="shared" si="5"/>
        <v>379</v>
      </c>
      <c r="I27" s="25" t="s">
        <v>89</v>
      </c>
      <c r="J27" s="26" t="s">
        <v>90</v>
      </c>
      <c r="K27" s="25">
        <v>379</v>
      </c>
      <c r="L27" s="25" t="s">
        <v>91</v>
      </c>
      <c r="M27" s="26" t="s">
        <v>62</v>
      </c>
      <c r="N27" s="26"/>
      <c r="O27" s="27" t="s">
        <v>63</v>
      </c>
      <c r="P27" s="27" t="s">
        <v>64</v>
      </c>
    </row>
    <row r="28" spans="1:16" ht="12.75" customHeight="1" thickBot="1" x14ac:dyDescent="0.25">
      <c r="A28" s="7" t="str">
        <f t="shared" si="0"/>
        <v> MHAR 12.13 </v>
      </c>
      <c r="B28" s="3" t="str">
        <f t="shared" si="1"/>
        <v>I</v>
      </c>
      <c r="C28" s="7">
        <f t="shared" si="2"/>
        <v>39028.563999999998</v>
      </c>
      <c r="D28" s="4" t="str">
        <f t="shared" si="3"/>
        <v>vis</v>
      </c>
      <c r="E28" s="24">
        <f>VLOOKUP(C28,Active!C$21:E$973,3,FALSE)</f>
        <v>598.99930784272817</v>
      </c>
      <c r="F28" s="3" t="s">
        <v>57</v>
      </c>
      <c r="G28" s="4" t="str">
        <f t="shared" si="4"/>
        <v>39028.564</v>
      </c>
      <c r="H28" s="7">
        <f t="shared" si="5"/>
        <v>599</v>
      </c>
      <c r="I28" s="25" t="s">
        <v>92</v>
      </c>
      <c r="J28" s="26" t="s">
        <v>93</v>
      </c>
      <c r="K28" s="25">
        <v>599</v>
      </c>
      <c r="L28" s="25" t="s">
        <v>94</v>
      </c>
      <c r="M28" s="26" t="s">
        <v>62</v>
      </c>
      <c r="N28" s="26"/>
      <c r="O28" s="27" t="s">
        <v>63</v>
      </c>
      <c r="P28" s="27" t="s">
        <v>64</v>
      </c>
    </row>
    <row r="29" spans="1:16" ht="12.75" customHeight="1" thickBot="1" x14ac:dyDescent="0.25">
      <c r="A29" s="7" t="str">
        <f t="shared" si="0"/>
        <v> MHAR 12.13 </v>
      </c>
      <c r="B29" s="3" t="str">
        <f t="shared" si="1"/>
        <v>I</v>
      </c>
      <c r="C29" s="7">
        <f t="shared" si="2"/>
        <v>39250.546000000002</v>
      </c>
      <c r="D29" s="4" t="str">
        <f t="shared" si="3"/>
        <v>vis</v>
      </c>
      <c r="E29" s="24">
        <f>VLOOKUP(C29,Active!C$21:E$973,3,FALSE)</f>
        <v>677.99491469028226</v>
      </c>
      <c r="F29" s="3" t="s">
        <v>57</v>
      </c>
      <c r="G29" s="4" t="str">
        <f t="shared" si="4"/>
        <v>39250.546</v>
      </c>
      <c r="H29" s="7">
        <f t="shared" si="5"/>
        <v>678</v>
      </c>
      <c r="I29" s="25" t="s">
        <v>95</v>
      </c>
      <c r="J29" s="26" t="s">
        <v>96</v>
      </c>
      <c r="K29" s="25">
        <v>678</v>
      </c>
      <c r="L29" s="25" t="s">
        <v>97</v>
      </c>
      <c r="M29" s="26" t="s">
        <v>62</v>
      </c>
      <c r="N29" s="26"/>
      <c r="O29" s="27" t="s">
        <v>63</v>
      </c>
      <c r="P29" s="27" t="s">
        <v>64</v>
      </c>
    </row>
    <row r="30" spans="1:16" ht="12.75" customHeight="1" thickBot="1" x14ac:dyDescent="0.25">
      <c r="A30" s="7" t="str">
        <f t="shared" si="0"/>
        <v> MHAR 12.13 </v>
      </c>
      <c r="B30" s="3" t="str">
        <f t="shared" si="1"/>
        <v>II</v>
      </c>
      <c r="C30" s="7">
        <f t="shared" si="2"/>
        <v>39285.498</v>
      </c>
      <c r="D30" s="4" t="str">
        <f t="shared" si="3"/>
        <v>vis</v>
      </c>
      <c r="E30" s="24">
        <f>VLOOKUP(C30,Active!C$21:E$973,3,FALSE)</f>
        <v>690.43310540185109</v>
      </c>
      <c r="F30" s="3" t="s">
        <v>57</v>
      </c>
      <c r="G30" s="4" t="str">
        <f t="shared" si="4"/>
        <v>39285.498</v>
      </c>
      <c r="H30" s="7">
        <f t="shared" si="5"/>
        <v>690.5</v>
      </c>
      <c r="I30" s="25" t="s">
        <v>98</v>
      </c>
      <c r="J30" s="26" t="s">
        <v>99</v>
      </c>
      <c r="K30" s="25">
        <v>690.5</v>
      </c>
      <c r="L30" s="25" t="s">
        <v>100</v>
      </c>
      <c r="M30" s="26" t="s">
        <v>62</v>
      </c>
      <c r="N30" s="26"/>
      <c r="O30" s="27" t="s">
        <v>63</v>
      </c>
      <c r="P30" s="27" t="s">
        <v>64</v>
      </c>
    </row>
    <row r="31" spans="1:16" ht="12.75" customHeight="1" thickBot="1" x14ac:dyDescent="0.25">
      <c r="A31" s="7" t="str">
        <f t="shared" si="0"/>
        <v> MHAR 12.13 </v>
      </c>
      <c r="B31" s="3" t="str">
        <f t="shared" si="1"/>
        <v>I</v>
      </c>
      <c r="C31" s="7">
        <f t="shared" si="2"/>
        <v>39413.563000000002</v>
      </c>
      <c r="D31" s="4" t="str">
        <f t="shared" si="3"/>
        <v>vis</v>
      </c>
      <c r="E31" s="24">
        <f>VLOOKUP(C31,Active!C$21:E$973,3,FALSE)</f>
        <v>736.0069464832543</v>
      </c>
      <c r="F31" s="3" t="s">
        <v>57</v>
      </c>
      <c r="G31" s="4" t="str">
        <f t="shared" si="4"/>
        <v>39413.563</v>
      </c>
      <c r="H31" s="7">
        <f t="shared" si="5"/>
        <v>736</v>
      </c>
      <c r="I31" s="25" t="s">
        <v>101</v>
      </c>
      <c r="J31" s="26" t="s">
        <v>102</v>
      </c>
      <c r="K31" s="25">
        <v>736</v>
      </c>
      <c r="L31" s="25" t="s">
        <v>103</v>
      </c>
      <c r="M31" s="26" t="s">
        <v>62</v>
      </c>
      <c r="N31" s="26"/>
      <c r="O31" s="27" t="s">
        <v>63</v>
      </c>
      <c r="P31" s="27" t="s">
        <v>64</v>
      </c>
    </row>
    <row r="32" spans="1:16" ht="12.75" customHeight="1" thickBot="1" x14ac:dyDescent="0.25">
      <c r="A32" s="7" t="str">
        <f t="shared" si="0"/>
        <v> MHAR 12.13 </v>
      </c>
      <c r="B32" s="3" t="str">
        <f t="shared" si="1"/>
        <v>I</v>
      </c>
      <c r="C32" s="7">
        <f t="shared" si="2"/>
        <v>40152.597000000002</v>
      </c>
      <c r="D32" s="4" t="str">
        <f t="shared" si="3"/>
        <v>vis</v>
      </c>
      <c r="E32" s="24">
        <f>VLOOKUP(C32,Active!C$21:E$973,3,FALSE)</f>
        <v>999.00322235685803</v>
      </c>
      <c r="F32" s="3" t="s">
        <v>57</v>
      </c>
      <c r="G32" s="4" t="str">
        <f t="shared" si="4"/>
        <v>40152.597</v>
      </c>
      <c r="H32" s="7">
        <f t="shared" si="5"/>
        <v>999</v>
      </c>
      <c r="I32" s="25" t="s">
        <v>104</v>
      </c>
      <c r="J32" s="26" t="s">
        <v>105</v>
      </c>
      <c r="K32" s="25">
        <v>999</v>
      </c>
      <c r="L32" s="25" t="s">
        <v>106</v>
      </c>
      <c r="M32" s="26" t="s">
        <v>62</v>
      </c>
      <c r="N32" s="26"/>
      <c r="O32" s="27" t="s">
        <v>63</v>
      </c>
      <c r="P32" s="27" t="s">
        <v>64</v>
      </c>
    </row>
    <row r="33" spans="1:16" ht="12.75" customHeight="1" thickBot="1" x14ac:dyDescent="0.25">
      <c r="A33" s="7" t="str">
        <f t="shared" si="0"/>
        <v> MHAR 12.13 </v>
      </c>
      <c r="B33" s="3" t="str">
        <f t="shared" si="1"/>
        <v>I</v>
      </c>
      <c r="C33" s="7">
        <f t="shared" si="2"/>
        <v>40478.533000000003</v>
      </c>
      <c r="D33" s="4" t="str">
        <f t="shared" si="3"/>
        <v>vis</v>
      </c>
      <c r="E33" s="24">
        <f>VLOOKUP(C33,Active!C$21:E$973,3,FALSE)</f>
        <v>1114.9924111805649</v>
      </c>
      <c r="F33" s="3" t="s">
        <v>57</v>
      </c>
      <c r="G33" s="4" t="str">
        <f t="shared" si="4"/>
        <v>40478.533</v>
      </c>
      <c r="H33" s="7">
        <f t="shared" si="5"/>
        <v>1115</v>
      </c>
      <c r="I33" s="25" t="s">
        <v>107</v>
      </c>
      <c r="J33" s="26" t="s">
        <v>108</v>
      </c>
      <c r="K33" s="25">
        <v>1115</v>
      </c>
      <c r="L33" s="25" t="s">
        <v>109</v>
      </c>
      <c r="M33" s="26" t="s">
        <v>62</v>
      </c>
      <c r="N33" s="26"/>
      <c r="O33" s="27" t="s">
        <v>63</v>
      </c>
      <c r="P33" s="27" t="s">
        <v>64</v>
      </c>
    </row>
    <row r="34" spans="1:16" ht="12.75" customHeight="1" thickBot="1" x14ac:dyDescent="0.25">
      <c r="A34" s="7" t="str">
        <f t="shared" si="0"/>
        <v> MHAR 12.13 </v>
      </c>
      <c r="B34" s="3" t="str">
        <f t="shared" si="1"/>
        <v>I</v>
      </c>
      <c r="C34" s="7">
        <f t="shared" si="2"/>
        <v>40509.463000000003</v>
      </c>
      <c r="D34" s="4" t="str">
        <f t="shared" si="3"/>
        <v>vis</v>
      </c>
      <c r="E34" s="24">
        <f>VLOOKUP(C34,Active!C$21:E$973,3,FALSE)</f>
        <v>1125.9993131807037</v>
      </c>
      <c r="F34" s="3" t="s">
        <v>57</v>
      </c>
      <c r="G34" s="4" t="str">
        <f t="shared" si="4"/>
        <v>40509.463</v>
      </c>
      <c r="H34" s="7">
        <f t="shared" si="5"/>
        <v>1126</v>
      </c>
      <c r="I34" s="25" t="s">
        <v>110</v>
      </c>
      <c r="J34" s="26" t="s">
        <v>111</v>
      </c>
      <c r="K34" s="25">
        <v>1126</v>
      </c>
      <c r="L34" s="25" t="s">
        <v>94</v>
      </c>
      <c r="M34" s="26" t="s">
        <v>62</v>
      </c>
      <c r="N34" s="26"/>
      <c r="O34" s="27" t="s">
        <v>63</v>
      </c>
      <c r="P34" s="27" t="s">
        <v>64</v>
      </c>
    </row>
    <row r="35" spans="1:16" ht="12.75" customHeight="1" thickBot="1" x14ac:dyDescent="0.25">
      <c r="A35" s="7" t="str">
        <f t="shared" si="0"/>
        <v>BAVM 212 </v>
      </c>
      <c r="B35" s="3" t="str">
        <f t="shared" si="1"/>
        <v>I</v>
      </c>
      <c r="C35" s="7">
        <f t="shared" si="2"/>
        <v>55155.4856</v>
      </c>
      <c r="D35" s="4" t="str">
        <f t="shared" si="3"/>
        <v>vis</v>
      </c>
      <c r="E35" s="24">
        <f>VLOOKUP(C35,Active!C$21:E$973,3,FALSE)</f>
        <v>6338.0049856675396</v>
      </c>
      <c r="F35" s="3" t="s">
        <v>57</v>
      </c>
      <c r="G35" s="4" t="str">
        <f t="shared" si="4"/>
        <v>55155.4856</v>
      </c>
      <c r="H35" s="7">
        <f t="shared" si="5"/>
        <v>6338</v>
      </c>
      <c r="I35" s="25" t="s">
        <v>129</v>
      </c>
      <c r="J35" s="26" t="s">
        <v>130</v>
      </c>
      <c r="K35" s="25" t="s">
        <v>131</v>
      </c>
      <c r="L35" s="25" t="s">
        <v>132</v>
      </c>
      <c r="M35" s="26" t="s">
        <v>133</v>
      </c>
      <c r="N35" s="26" t="s">
        <v>122</v>
      </c>
      <c r="O35" s="27" t="s">
        <v>117</v>
      </c>
      <c r="P35" s="28" t="s">
        <v>134</v>
      </c>
    </row>
    <row r="36" spans="1:16" x14ac:dyDescent="0.2">
      <c r="B36" s="3"/>
      <c r="F36" s="3"/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</sheetData>
  <phoneticPr fontId="7" type="noConversion"/>
  <hyperlinks>
    <hyperlink ref="P11" r:id="rId1" display="http://www.bav-astro.de/sfs/BAVM_link.php?BAVMnr=152" xr:uid="{00000000-0004-0000-0100-000000000000}"/>
    <hyperlink ref="P12" r:id="rId2" display="http://www.bav-astro.de/sfs/BAVM_link.php?BAVMnr=173" xr:uid="{00000000-0004-0000-0100-000001000000}"/>
    <hyperlink ref="P13" r:id="rId3" display="http://www.bav-astro.de/sfs/BAVM_link.php?BAVMnr=173" xr:uid="{00000000-0004-0000-0100-000002000000}"/>
    <hyperlink ref="P35" r:id="rId4" display="http://www.bav-astro.de/sfs/BAVM_link.php?BAVMnr=212" xr:uid="{00000000-0004-0000-0100-000003000000}"/>
    <hyperlink ref="P14" r:id="rId5" display="http://www.konkoly.hu/cgi-bin/IBVS?5929" xr:uid="{00000000-0004-0000-0100-000004000000}"/>
    <hyperlink ref="P15" r:id="rId6" display="http://www.konkoly.hu/cgi-bin/IBVS?5920" xr:uid="{00000000-0004-0000-0100-000005000000}"/>
    <hyperlink ref="P16" r:id="rId7" display="http://www.bav-astro.de/sfs/BAVM_link.php?BAVMnr=220" xr:uid="{00000000-0004-0000-0100-000006000000}"/>
    <hyperlink ref="P17" r:id="rId8" display="http://www.bav-astro.de/sfs/BAVM_link.php?BAVMnr=234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2024-03-03T06:03:39Z</dcterms:modified>
</cp:coreProperties>
</file>