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A048586-C128-4057-81B6-F54B8CBBE00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G18" i="2" l="1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G12" i="2"/>
  <c r="C12" i="2"/>
  <c r="E12" i="2"/>
  <c r="G11" i="2"/>
  <c r="C11" i="2"/>
  <c r="E11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F11" i="1"/>
  <c r="Q31" i="1"/>
  <c r="E30" i="1"/>
  <c r="F30" i="1"/>
  <c r="Q30" i="1"/>
  <c r="E29" i="1"/>
  <c r="F29" i="1"/>
  <c r="G29" i="1"/>
  <c r="I29" i="1"/>
  <c r="Q29" i="1"/>
  <c r="G11" i="1"/>
  <c r="E14" i="1"/>
  <c r="E28" i="1"/>
  <c r="F28" i="1"/>
  <c r="G28" i="1"/>
  <c r="I28" i="1"/>
  <c r="E22" i="1"/>
  <c r="F22" i="1"/>
  <c r="G22" i="1"/>
  <c r="J22" i="1"/>
  <c r="E24" i="1"/>
  <c r="F24" i="1"/>
  <c r="E25" i="1"/>
  <c r="F25" i="1"/>
  <c r="G25" i="1"/>
  <c r="I25" i="1"/>
  <c r="E27" i="1"/>
  <c r="F27" i="1"/>
  <c r="G27" i="1"/>
  <c r="I27" i="1"/>
  <c r="Q28" i="1"/>
  <c r="Q27" i="1"/>
  <c r="C21" i="1"/>
  <c r="E21" i="1"/>
  <c r="F21" i="1"/>
  <c r="G21" i="1"/>
  <c r="H21" i="1"/>
  <c r="C7" i="1"/>
  <c r="E31" i="1"/>
  <c r="F31" i="1"/>
  <c r="Q24" i="1"/>
  <c r="Q22" i="1"/>
  <c r="Q23" i="1"/>
  <c r="Q25" i="1"/>
  <c r="Q26" i="1"/>
  <c r="Q21" i="1"/>
  <c r="E13" i="2"/>
  <c r="E26" i="1"/>
  <c r="F26" i="1"/>
  <c r="E23" i="1"/>
  <c r="F23" i="1"/>
  <c r="C17" i="1"/>
  <c r="G30" i="1"/>
  <c r="I30" i="1"/>
  <c r="G31" i="1"/>
  <c r="I31" i="1"/>
  <c r="G26" i="1"/>
  <c r="I26" i="1"/>
  <c r="G23" i="1"/>
  <c r="J23" i="1"/>
  <c r="C12" i="1"/>
  <c r="C16" i="1" l="1"/>
  <c r="D18" i="1" s="1"/>
  <c r="E15" i="1"/>
  <c r="C11" i="1"/>
  <c r="O28" i="1" l="1"/>
  <c r="C15" i="1"/>
  <c r="O21" i="1"/>
  <c r="O24" i="1"/>
  <c r="O31" i="1"/>
  <c r="O26" i="1"/>
  <c r="O23" i="1"/>
  <c r="O30" i="1"/>
  <c r="O27" i="1"/>
  <c r="O29" i="1"/>
  <c r="O22" i="1"/>
  <c r="O25" i="1"/>
  <c r="C18" i="1" l="1"/>
  <c r="E16" i="1"/>
  <c r="E17" i="1" s="1"/>
</calcChain>
</file>

<file path=xl/sharedStrings.xml><?xml version="1.0" encoding="utf-8"?>
<sst xmlns="http://schemas.openxmlformats.org/spreadsheetml/2006/main" count="142" uniqueCount="101">
  <si>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</si>
  <si>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</si>
  <si>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</si>
  <si>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</si>
  <si>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</si>
  <si>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</si>
  <si>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</si>
  <si>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</si>
  <si>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</si>
  <si>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</si>
  <si>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</si>
  <si>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</si>
  <si>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</si>
  <si>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</si>
  <si>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</si>
  <si>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</si>
  <si>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</si>
  <si>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</si>
  <si>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</si>
  <si>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</si>
  <si>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</si>
  <si>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</si>
  <si>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</si>
  <si>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</si>
  <si>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</si>
  <si>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</si>
  <si>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</si>
  <si>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</si>
  <si>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</si>
  <si>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EW/KE:</t>
  </si>
  <si>
    <t>IBVS 5287</t>
  </si>
  <si>
    <t>I</t>
  </si>
  <si>
    <t>ROTSE</t>
  </si>
  <si>
    <t>II</t>
  </si>
  <si>
    <t>IBVS 5690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</si>
  <si>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</si>
  <si>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</si>
  <si>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</si>
  <si>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</si>
  <si>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</si>
  <si>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</si>
  <si>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</si>
  <si>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5871</t>
  </si>
  <si>
    <t>IBVS 5920</t>
  </si>
  <si>
    <t>Add cycle</t>
  </si>
  <si>
    <t>Old Cycle</t>
  </si>
  <si>
    <t>IBVS 5960</t>
  </si>
  <si>
    <t>IBVS 6011</t>
  </si>
  <si>
    <t>IBVS 6042</t>
  </si>
  <si>
    <t>ROTSE data show primary about 0.1 magnitude deeper than secondary.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</si>
  <si>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</si>
  <si>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</si>
  <si>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</si>
  <si>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</si>
  <si>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</si>
  <si>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</si>
  <si>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</si>
  <si>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</si>
  <si>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</si>
  <si>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</si>
  <si>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</si>
  <si>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2451626.3446 </t>
  </si>
  <si>
    <t> 22.03.2000 20:16 </t>
  </si>
  <si>
    <t> 0.1264 </t>
  </si>
  <si>
    <t>E </t>
  </si>
  <si>
    <t>?</t>
  </si>
  <si>
    <t> M.Zejda </t>
  </si>
  <si>
    <t>IBVS 5287 </t>
  </si>
  <si>
    <t>2453297.9262 </t>
  </si>
  <si>
    <t> 19.10.2004 10:13 </t>
  </si>
  <si>
    <t> 0.1544 </t>
  </si>
  <si>
    <t> T. Krajci </t>
  </si>
  <si>
    <t>IBVS 5690 </t>
  </si>
  <si>
    <t>2453301.9482 </t>
  </si>
  <si>
    <t> 23.10.2004 10:45 </t>
  </si>
  <si>
    <t> -0.1124 </t>
  </si>
  <si>
    <t>2454831.7322 </t>
  </si>
  <si>
    <t> 31.12.2008 05:34 </t>
  </si>
  <si>
    <t> -0.0840 </t>
  </si>
  <si>
    <t>C </t>
  </si>
  <si>
    <t> R.Diethelm </t>
  </si>
  <si>
    <t>IBVS 5871 </t>
  </si>
  <si>
    <t>2455197.6269 </t>
  </si>
  <si>
    <t> 01.01.2010 03:02 </t>
  </si>
  <si>
    <t> -0.0762 </t>
  </si>
  <si>
    <t>IBVS 5920 </t>
  </si>
  <si>
    <t>2455497.8428 </t>
  </si>
  <si>
    <t> 28.10.2010 08:13 </t>
  </si>
  <si>
    <t> -0.0752 </t>
  </si>
  <si>
    <t>IBVS 5960 </t>
  </si>
  <si>
    <t>2455858.9103 </t>
  </si>
  <si>
    <t> 24.10.2011 09:50 </t>
  </si>
  <si>
    <t> -0.0697 </t>
  </si>
  <si>
    <t>IBVS 6011 </t>
  </si>
  <si>
    <t>2456233.9215 </t>
  </si>
  <si>
    <t> 02.11.2012 10:06 </t>
  </si>
  <si>
    <t> -0.0590 </t>
  </si>
  <si>
    <t>IBVS 6042 </t>
  </si>
  <si>
    <t>V0434 Per / GSC 02865-01811</t>
  </si>
  <si>
    <t>vis?</t>
  </si>
  <si>
    <t>S4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</si>
</sst>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3" formatCode="0.0000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63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172" fontId="0" fillId="0" borderId="0" xfId="0" applyNumberFormat="1" applyAlignment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172" fontId="0" fillId="0" borderId="0" xfId="0" applyNumberFormat="1" applyAlignment="1">
      <alignment vertical="center"/>
    </xf>
    <xf numFmtId="173" fontId="0" fillId="0" borderId="0" xfId="0" applyNumberForma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2" fontId="0" fillId="0" borderId="0" xfId="0" applyNumberForma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V0434 Per - O-C Diagr.</a:t>
            </a:r>
          </a:p>
        </c:rich>
      </c:tx>
      <c:layout>
        <c:manualLayout>
          <c:xMode val="edge"/>
          <c:yMode val="edge"/>
          <c:x val="0.3683363650626062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78942920199375"/>
          <c:w val="0.79967752902672617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23444</c:v>
                </c:pt>
                <c:pt idx="2">
                  <c:v>23444.5</c:v>
                </c:pt>
                <c:pt idx="3">
                  <c:v>24094</c:v>
                </c:pt>
                <c:pt idx="4">
                  <c:v>27212</c:v>
                </c:pt>
                <c:pt idx="5">
                  <c:v>27219.5</c:v>
                </c:pt>
                <c:pt idx="6">
                  <c:v>30073</c:v>
                </c:pt>
                <c:pt idx="7">
                  <c:v>30755.5</c:v>
                </c:pt>
                <c:pt idx="8">
                  <c:v>31315.5</c:v>
                </c:pt>
                <c:pt idx="9">
                  <c:v>31989</c:v>
                </c:pt>
                <c:pt idx="10">
                  <c:v>32688.5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1C-4DA8-8AE2-E0463AC9D8C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4.4000000000000003E-3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8.0000000000000004E-4</c:v>
                  </c:pt>
                  <c:pt idx="8">
                    <c:v>2.3999999999999998E-3</c:v>
                  </c:pt>
                  <c:pt idx="9">
                    <c:v>1E-3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4.4000000000000003E-3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8.0000000000000004E-4</c:v>
                  </c:pt>
                  <c:pt idx="8">
                    <c:v>2.3999999999999998E-3</c:v>
                  </c:pt>
                  <c:pt idx="9">
                    <c:v>1E-3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23444</c:v>
                </c:pt>
                <c:pt idx="2">
                  <c:v>23444.5</c:v>
                </c:pt>
                <c:pt idx="3">
                  <c:v>24094</c:v>
                </c:pt>
                <c:pt idx="4">
                  <c:v>27212</c:v>
                </c:pt>
                <c:pt idx="5">
                  <c:v>27219.5</c:v>
                </c:pt>
                <c:pt idx="6">
                  <c:v>30073</c:v>
                </c:pt>
                <c:pt idx="7">
                  <c:v>30755.5</c:v>
                </c:pt>
                <c:pt idx="8">
                  <c:v>31315.5</c:v>
                </c:pt>
                <c:pt idx="9">
                  <c:v>31989</c:v>
                </c:pt>
                <c:pt idx="10">
                  <c:v>32688.5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3">
                  <c:v>-0.11997315000189701</c:v>
                </c:pt>
                <c:pt idx="4">
                  <c:v>-0.12381869999808259</c:v>
                </c:pt>
                <c:pt idx="5">
                  <c:v>-0.12263038750097621</c:v>
                </c:pt>
                <c:pt idx="6">
                  <c:v>-0.12345042500237469</c:v>
                </c:pt>
                <c:pt idx="7">
                  <c:v>-0.12261398749251384</c:v>
                </c:pt>
                <c:pt idx="8">
                  <c:v>-0.12731998749950435</c:v>
                </c:pt>
                <c:pt idx="9">
                  <c:v>-0.1287095249936101</c:v>
                </c:pt>
                <c:pt idx="10">
                  <c:v>-0.12521291250595823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1C-4DA8-8AE2-E0463AC9D8C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4.4000000000000003E-3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8.0000000000000004E-4</c:v>
                  </c:pt>
                  <c:pt idx="8">
                    <c:v>2.3999999999999998E-3</c:v>
                  </c:pt>
                  <c:pt idx="9">
                    <c:v>1E-3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4.4000000000000003E-3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8.0000000000000004E-4</c:v>
                  </c:pt>
                  <c:pt idx="8">
                    <c:v>2.3999999999999998E-3</c:v>
                  </c:pt>
                  <c:pt idx="9">
                    <c:v>1E-3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23444</c:v>
                </c:pt>
                <c:pt idx="2">
                  <c:v>23444.5</c:v>
                </c:pt>
                <c:pt idx="3">
                  <c:v>24094</c:v>
                </c:pt>
                <c:pt idx="4">
                  <c:v>27212</c:v>
                </c:pt>
                <c:pt idx="5">
                  <c:v>27219.5</c:v>
                </c:pt>
                <c:pt idx="6">
                  <c:v>30073</c:v>
                </c:pt>
                <c:pt idx="7">
                  <c:v>30755.5</c:v>
                </c:pt>
                <c:pt idx="8">
                  <c:v>31315.5</c:v>
                </c:pt>
                <c:pt idx="9">
                  <c:v>31989</c:v>
                </c:pt>
                <c:pt idx="10">
                  <c:v>32688.5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-0.12492690000362927</c:v>
                </c:pt>
                <c:pt idx="2">
                  <c:v>-0.1234810124951764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1C-4DA8-8AE2-E0463AC9D8C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4.4000000000000003E-3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8.0000000000000004E-4</c:v>
                  </c:pt>
                  <c:pt idx="8">
                    <c:v>2.3999999999999998E-3</c:v>
                  </c:pt>
                  <c:pt idx="9">
                    <c:v>1E-3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4.4000000000000003E-3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8.0000000000000004E-4</c:v>
                  </c:pt>
                  <c:pt idx="8">
                    <c:v>2.3999999999999998E-3</c:v>
                  </c:pt>
                  <c:pt idx="9">
                    <c:v>1E-3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23444</c:v>
                </c:pt>
                <c:pt idx="2">
                  <c:v>23444.5</c:v>
                </c:pt>
                <c:pt idx="3">
                  <c:v>24094</c:v>
                </c:pt>
                <c:pt idx="4">
                  <c:v>27212</c:v>
                </c:pt>
                <c:pt idx="5">
                  <c:v>27219.5</c:v>
                </c:pt>
                <c:pt idx="6">
                  <c:v>30073</c:v>
                </c:pt>
                <c:pt idx="7">
                  <c:v>30755.5</c:v>
                </c:pt>
                <c:pt idx="8">
                  <c:v>31315.5</c:v>
                </c:pt>
                <c:pt idx="9">
                  <c:v>31989</c:v>
                </c:pt>
                <c:pt idx="10">
                  <c:v>32688.5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1C-4DA8-8AE2-E0463AC9D8C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4.4000000000000003E-3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8.0000000000000004E-4</c:v>
                  </c:pt>
                  <c:pt idx="8">
                    <c:v>2.3999999999999998E-3</c:v>
                  </c:pt>
                  <c:pt idx="9">
                    <c:v>1E-3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4.4000000000000003E-3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8.0000000000000004E-4</c:v>
                  </c:pt>
                  <c:pt idx="8">
                    <c:v>2.3999999999999998E-3</c:v>
                  </c:pt>
                  <c:pt idx="9">
                    <c:v>1E-3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23444</c:v>
                </c:pt>
                <c:pt idx="2">
                  <c:v>23444.5</c:v>
                </c:pt>
                <c:pt idx="3">
                  <c:v>24094</c:v>
                </c:pt>
                <c:pt idx="4">
                  <c:v>27212</c:v>
                </c:pt>
                <c:pt idx="5">
                  <c:v>27219.5</c:v>
                </c:pt>
                <c:pt idx="6">
                  <c:v>30073</c:v>
                </c:pt>
                <c:pt idx="7">
                  <c:v>30755.5</c:v>
                </c:pt>
                <c:pt idx="8">
                  <c:v>31315.5</c:v>
                </c:pt>
                <c:pt idx="9">
                  <c:v>31989</c:v>
                </c:pt>
                <c:pt idx="10">
                  <c:v>32688.5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1C-4DA8-8AE2-E0463AC9D8C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4.4000000000000003E-3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8.0000000000000004E-4</c:v>
                  </c:pt>
                  <c:pt idx="8">
                    <c:v>2.3999999999999998E-3</c:v>
                  </c:pt>
                  <c:pt idx="9">
                    <c:v>1E-3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4.4000000000000003E-3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8.0000000000000004E-4</c:v>
                  </c:pt>
                  <c:pt idx="8">
                    <c:v>2.3999999999999998E-3</c:v>
                  </c:pt>
                  <c:pt idx="9">
                    <c:v>1E-3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23444</c:v>
                </c:pt>
                <c:pt idx="2">
                  <c:v>23444.5</c:v>
                </c:pt>
                <c:pt idx="3">
                  <c:v>24094</c:v>
                </c:pt>
                <c:pt idx="4">
                  <c:v>27212</c:v>
                </c:pt>
                <c:pt idx="5">
                  <c:v>27219.5</c:v>
                </c:pt>
                <c:pt idx="6">
                  <c:v>30073</c:v>
                </c:pt>
                <c:pt idx="7">
                  <c:v>30755.5</c:v>
                </c:pt>
                <c:pt idx="8">
                  <c:v>31315.5</c:v>
                </c:pt>
                <c:pt idx="9">
                  <c:v>31989</c:v>
                </c:pt>
                <c:pt idx="10">
                  <c:v>32688.5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1C-4DA8-8AE2-E0463AC9D8C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4.4000000000000003E-3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8.0000000000000004E-4</c:v>
                  </c:pt>
                  <c:pt idx="8">
                    <c:v>2.3999999999999998E-3</c:v>
                  </c:pt>
                  <c:pt idx="9">
                    <c:v>1E-3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4.4000000000000003E-3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8.0000000000000004E-4</c:v>
                  </c:pt>
                  <c:pt idx="8">
                    <c:v>2.3999999999999998E-3</c:v>
                  </c:pt>
                  <c:pt idx="9">
                    <c:v>1E-3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23444</c:v>
                </c:pt>
                <c:pt idx="2">
                  <c:v>23444.5</c:v>
                </c:pt>
                <c:pt idx="3">
                  <c:v>24094</c:v>
                </c:pt>
                <c:pt idx="4">
                  <c:v>27212</c:v>
                </c:pt>
                <c:pt idx="5">
                  <c:v>27219.5</c:v>
                </c:pt>
                <c:pt idx="6">
                  <c:v>30073</c:v>
                </c:pt>
                <c:pt idx="7">
                  <c:v>30755.5</c:v>
                </c:pt>
                <c:pt idx="8">
                  <c:v>31315.5</c:v>
                </c:pt>
                <c:pt idx="9">
                  <c:v>31989</c:v>
                </c:pt>
                <c:pt idx="10">
                  <c:v>32688.5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1C-4DA8-8AE2-E0463AC9D8C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23444</c:v>
                </c:pt>
                <c:pt idx="2">
                  <c:v>23444.5</c:v>
                </c:pt>
                <c:pt idx="3">
                  <c:v>24094</c:v>
                </c:pt>
                <c:pt idx="4">
                  <c:v>27212</c:v>
                </c:pt>
                <c:pt idx="5">
                  <c:v>27219.5</c:v>
                </c:pt>
                <c:pt idx="6">
                  <c:v>30073</c:v>
                </c:pt>
                <c:pt idx="7">
                  <c:v>30755.5</c:v>
                </c:pt>
                <c:pt idx="8">
                  <c:v>31315.5</c:v>
                </c:pt>
                <c:pt idx="9">
                  <c:v>31989</c:v>
                </c:pt>
                <c:pt idx="10">
                  <c:v>32688.5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-0.11727240095395092</c:v>
                </c:pt>
                <c:pt idx="1">
                  <c:v>-0.1233310993595871</c:v>
                </c:pt>
                <c:pt idx="2">
                  <c:v>-0.12333122857598373</c:v>
                </c:pt>
                <c:pt idx="3">
                  <c:v>-0.12349908067521854</c:v>
                </c:pt>
                <c:pt idx="4">
                  <c:v>-0.1243048741246629</c:v>
                </c:pt>
                <c:pt idx="5">
                  <c:v>-0.1243068123706125</c:v>
                </c:pt>
                <c:pt idx="6">
                  <c:v>-0.12504425034623454</c:v>
                </c:pt>
                <c:pt idx="7">
                  <c:v>-0.12522063072764753</c:v>
                </c:pt>
                <c:pt idx="8">
                  <c:v>-0.12536535309188385</c:v>
                </c:pt>
                <c:pt idx="9">
                  <c:v>-0.12553940757815735</c:v>
                </c:pt>
                <c:pt idx="10">
                  <c:v>-0.12572018131705612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1C-4DA8-8AE2-E0463AC9D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871616"/>
        <c:axId val="1"/>
      </c:scatterChart>
      <c:valAx>
        <c:axId val="777871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"/>
          <c:min val="-0.140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871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47512921950992"/>
          <c:y val="0.9204921861831491"/>
          <c:w val="0.7802914700282820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V0434 Per - O-C Diagr.</a:t>
            </a:r>
          </a:p>
        </c:rich>
      </c:tx>
      <c:layout>
        <c:manualLayout>
          <c:xMode val="edge"/>
          <c:yMode val="edge"/>
          <c:x val="0.3677419354838709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96774193548387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23444</c:v>
                </c:pt>
                <c:pt idx="2">
                  <c:v>23444.5</c:v>
                </c:pt>
                <c:pt idx="3">
                  <c:v>24094</c:v>
                </c:pt>
                <c:pt idx="4">
                  <c:v>27212</c:v>
                </c:pt>
                <c:pt idx="5">
                  <c:v>27219.5</c:v>
                </c:pt>
                <c:pt idx="6">
                  <c:v>30073</c:v>
                </c:pt>
                <c:pt idx="7">
                  <c:v>30755.5</c:v>
                </c:pt>
                <c:pt idx="8">
                  <c:v>31315.5</c:v>
                </c:pt>
                <c:pt idx="9">
                  <c:v>31989</c:v>
                </c:pt>
                <c:pt idx="10">
                  <c:v>32688.5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47-4D6B-BE78-46CB951E9B4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4.4000000000000003E-3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8.0000000000000004E-4</c:v>
                  </c:pt>
                  <c:pt idx="8">
                    <c:v>2.3999999999999998E-3</c:v>
                  </c:pt>
                  <c:pt idx="9">
                    <c:v>1E-3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4.4000000000000003E-3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8.0000000000000004E-4</c:v>
                  </c:pt>
                  <c:pt idx="8">
                    <c:v>2.3999999999999998E-3</c:v>
                  </c:pt>
                  <c:pt idx="9">
                    <c:v>1E-3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23444</c:v>
                </c:pt>
                <c:pt idx="2">
                  <c:v>23444.5</c:v>
                </c:pt>
                <c:pt idx="3">
                  <c:v>24094</c:v>
                </c:pt>
                <c:pt idx="4">
                  <c:v>27212</c:v>
                </c:pt>
                <c:pt idx="5">
                  <c:v>27219.5</c:v>
                </c:pt>
                <c:pt idx="6">
                  <c:v>30073</c:v>
                </c:pt>
                <c:pt idx="7">
                  <c:v>30755.5</c:v>
                </c:pt>
                <c:pt idx="8">
                  <c:v>31315.5</c:v>
                </c:pt>
                <c:pt idx="9">
                  <c:v>31989</c:v>
                </c:pt>
                <c:pt idx="10">
                  <c:v>32688.5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3">
                  <c:v>-0.11997315000189701</c:v>
                </c:pt>
                <c:pt idx="4">
                  <c:v>-0.12381869999808259</c:v>
                </c:pt>
                <c:pt idx="5">
                  <c:v>-0.12263038750097621</c:v>
                </c:pt>
                <c:pt idx="6">
                  <c:v>-0.12345042500237469</c:v>
                </c:pt>
                <c:pt idx="7">
                  <c:v>-0.12261398749251384</c:v>
                </c:pt>
                <c:pt idx="8">
                  <c:v>-0.12731998749950435</c:v>
                </c:pt>
                <c:pt idx="9">
                  <c:v>-0.1287095249936101</c:v>
                </c:pt>
                <c:pt idx="10">
                  <c:v>-0.12521291250595823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47-4D6B-BE78-46CB951E9B4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4.4000000000000003E-3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8.0000000000000004E-4</c:v>
                  </c:pt>
                  <c:pt idx="8">
                    <c:v>2.3999999999999998E-3</c:v>
                  </c:pt>
                  <c:pt idx="9">
                    <c:v>1E-3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4.4000000000000003E-3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8.0000000000000004E-4</c:v>
                  </c:pt>
                  <c:pt idx="8">
                    <c:v>2.3999999999999998E-3</c:v>
                  </c:pt>
                  <c:pt idx="9">
                    <c:v>1E-3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23444</c:v>
                </c:pt>
                <c:pt idx="2">
                  <c:v>23444.5</c:v>
                </c:pt>
                <c:pt idx="3">
                  <c:v>24094</c:v>
                </c:pt>
                <c:pt idx="4">
                  <c:v>27212</c:v>
                </c:pt>
                <c:pt idx="5">
                  <c:v>27219.5</c:v>
                </c:pt>
                <c:pt idx="6">
                  <c:v>30073</c:v>
                </c:pt>
                <c:pt idx="7">
                  <c:v>30755.5</c:v>
                </c:pt>
                <c:pt idx="8">
                  <c:v>31315.5</c:v>
                </c:pt>
                <c:pt idx="9">
                  <c:v>31989</c:v>
                </c:pt>
                <c:pt idx="10">
                  <c:v>32688.5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-0.12492690000362927</c:v>
                </c:pt>
                <c:pt idx="2">
                  <c:v>-0.1234810124951764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47-4D6B-BE78-46CB951E9B4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4.4000000000000003E-3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8.0000000000000004E-4</c:v>
                  </c:pt>
                  <c:pt idx="8">
                    <c:v>2.3999999999999998E-3</c:v>
                  </c:pt>
                  <c:pt idx="9">
                    <c:v>1E-3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4.4000000000000003E-3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8.0000000000000004E-4</c:v>
                  </c:pt>
                  <c:pt idx="8">
                    <c:v>2.3999999999999998E-3</c:v>
                  </c:pt>
                  <c:pt idx="9">
                    <c:v>1E-3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23444</c:v>
                </c:pt>
                <c:pt idx="2">
                  <c:v>23444.5</c:v>
                </c:pt>
                <c:pt idx="3">
                  <c:v>24094</c:v>
                </c:pt>
                <c:pt idx="4">
                  <c:v>27212</c:v>
                </c:pt>
                <c:pt idx="5">
                  <c:v>27219.5</c:v>
                </c:pt>
                <c:pt idx="6">
                  <c:v>30073</c:v>
                </c:pt>
                <c:pt idx="7">
                  <c:v>30755.5</c:v>
                </c:pt>
                <c:pt idx="8">
                  <c:v>31315.5</c:v>
                </c:pt>
                <c:pt idx="9">
                  <c:v>31989</c:v>
                </c:pt>
                <c:pt idx="10">
                  <c:v>32688.5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47-4D6B-BE78-46CB951E9B4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4.4000000000000003E-3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8.0000000000000004E-4</c:v>
                  </c:pt>
                  <c:pt idx="8">
                    <c:v>2.3999999999999998E-3</c:v>
                  </c:pt>
                  <c:pt idx="9">
                    <c:v>1E-3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4.4000000000000003E-3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8.0000000000000004E-4</c:v>
                  </c:pt>
                  <c:pt idx="8">
                    <c:v>2.3999999999999998E-3</c:v>
                  </c:pt>
                  <c:pt idx="9">
                    <c:v>1E-3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23444</c:v>
                </c:pt>
                <c:pt idx="2">
                  <c:v>23444.5</c:v>
                </c:pt>
                <c:pt idx="3">
                  <c:v>24094</c:v>
                </c:pt>
                <c:pt idx="4">
                  <c:v>27212</c:v>
                </c:pt>
                <c:pt idx="5">
                  <c:v>27219.5</c:v>
                </c:pt>
                <c:pt idx="6">
                  <c:v>30073</c:v>
                </c:pt>
                <c:pt idx="7">
                  <c:v>30755.5</c:v>
                </c:pt>
                <c:pt idx="8">
                  <c:v>31315.5</c:v>
                </c:pt>
                <c:pt idx="9">
                  <c:v>31989</c:v>
                </c:pt>
                <c:pt idx="10">
                  <c:v>32688.5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47-4D6B-BE78-46CB951E9B4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4.4000000000000003E-3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8.0000000000000004E-4</c:v>
                  </c:pt>
                  <c:pt idx="8">
                    <c:v>2.3999999999999998E-3</c:v>
                  </c:pt>
                  <c:pt idx="9">
                    <c:v>1E-3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4.4000000000000003E-3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8.0000000000000004E-4</c:v>
                  </c:pt>
                  <c:pt idx="8">
                    <c:v>2.3999999999999998E-3</c:v>
                  </c:pt>
                  <c:pt idx="9">
                    <c:v>1E-3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23444</c:v>
                </c:pt>
                <c:pt idx="2">
                  <c:v>23444.5</c:v>
                </c:pt>
                <c:pt idx="3">
                  <c:v>24094</c:v>
                </c:pt>
                <c:pt idx="4">
                  <c:v>27212</c:v>
                </c:pt>
                <c:pt idx="5">
                  <c:v>27219.5</c:v>
                </c:pt>
                <c:pt idx="6">
                  <c:v>30073</c:v>
                </c:pt>
                <c:pt idx="7">
                  <c:v>30755.5</c:v>
                </c:pt>
                <c:pt idx="8">
                  <c:v>31315.5</c:v>
                </c:pt>
                <c:pt idx="9">
                  <c:v>31989</c:v>
                </c:pt>
                <c:pt idx="10">
                  <c:v>32688.5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47-4D6B-BE78-46CB951E9B4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4.4000000000000003E-3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8.0000000000000004E-4</c:v>
                  </c:pt>
                  <c:pt idx="8">
                    <c:v>2.3999999999999998E-3</c:v>
                  </c:pt>
                  <c:pt idx="9">
                    <c:v>1E-3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4.4000000000000003E-3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8.0000000000000004E-4</c:v>
                  </c:pt>
                  <c:pt idx="8">
                    <c:v>2.3999999999999998E-3</c:v>
                  </c:pt>
                  <c:pt idx="9">
                    <c:v>1E-3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23444</c:v>
                </c:pt>
                <c:pt idx="2">
                  <c:v>23444.5</c:v>
                </c:pt>
                <c:pt idx="3">
                  <c:v>24094</c:v>
                </c:pt>
                <c:pt idx="4">
                  <c:v>27212</c:v>
                </c:pt>
                <c:pt idx="5">
                  <c:v>27219.5</c:v>
                </c:pt>
                <c:pt idx="6">
                  <c:v>30073</c:v>
                </c:pt>
                <c:pt idx="7">
                  <c:v>30755.5</c:v>
                </c:pt>
                <c:pt idx="8">
                  <c:v>31315.5</c:v>
                </c:pt>
                <c:pt idx="9">
                  <c:v>31989</c:v>
                </c:pt>
                <c:pt idx="10">
                  <c:v>32688.5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47-4D6B-BE78-46CB951E9B4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23444</c:v>
                </c:pt>
                <c:pt idx="2">
                  <c:v>23444.5</c:v>
                </c:pt>
                <c:pt idx="3">
                  <c:v>24094</c:v>
                </c:pt>
                <c:pt idx="4">
                  <c:v>27212</c:v>
                </c:pt>
                <c:pt idx="5">
                  <c:v>27219.5</c:v>
                </c:pt>
                <c:pt idx="6">
                  <c:v>30073</c:v>
                </c:pt>
                <c:pt idx="7">
                  <c:v>30755.5</c:v>
                </c:pt>
                <c:pt idx="8">
                  <c:v>31315.5</c:v>
                </c:pt>
                <c:pt idx="9">
                  <c:v>31989</c:v>
                </c:pt>
                <c:pt idx="10">
                  <c:v>32688.5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-0.11727240095395092</c:v>
                </c:pt>
                <c:pt idx="1">
                  <c:v>-0.1233310993595871</c:v>
                </c:pt>
                <c:pt idx="2">
                  <c:v>-0.12333122857598373</c:v>
                </c:pt>
                <c:pt idx="3">
                  <c:v>-0.12349908067521854</c:v>
                </c:pt>
                <c:pt idx="4">
                  <c:v>-0.1243048741246629</c:v>
                </c:pt>
                <c:pt idx="5">
                  <c:v>-0.1243068123706125</c:v>
                </c:pt>
                <c:pt idx="6">
                  <c:v>-0.12504425034623454</c:v>
                </c:pt>
                <c:pt idx="7">
                  <c:v>-0.12522063072764753</c:v>
                </c:pt>
                <c:pt idx="8">
                  <c:v>-0.12536535309188385</c:v>
                </c:pt>
                <c:pt idx="9">
                  <c:v>-0.12553940757815735</c:v>
                </c:pt>
                <c:pt idx="10">
                  <c:v>-0.12572018131705612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47-4D6B-BE78-46CB951E9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8205888"/>
        <c:axId val="1"/>
      </c:scatterChart>
      <c:valAx>
        <c:axId val="928205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8205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096774193548386"/>
          <c:y val="0.92073298764483702"/>
          <c:w val="0.77903225806451615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28576</xdr:rowOff>
    </xdr:from>
    <xdr:to>
      <xdr:col>17</xdr:col>
      <xdr:colOff>266700</xdr:colOff>
      <xdr:row>18</xdr:row>
      <xdr:rowOff>38101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BE9BDD9-F128-60D2-A699-B06367ABE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400050</xdr:colOff>
      <xdr:row>0</xdr:row>
      <xdr:rowOff>0</xdr:rowOff>
    </xdr:from>
    <xdr:to>
      <xdr:col>27</xdr:col>
      <xdr:colOff>295275</xdr:colOff>
      <xdr:row>18</xdr:row>
      <xdr:rowOff>95249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4B649D2A-9FFE-9E4B-9DDA-EC0687BC7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42" TargetMode="External"/><Relationship Id="rId3" Type="http://schemas.openxmlformats.org/officeDocument/2006/relationships/hyperlink" Target="http://www.konkoly.hu/cgi-bin/IBVS?5690" TargetMode="External"/><Relationship Id="rId7" Type="http://schemas.openxmlformats.org/officeDocument/2006/relationships/hyperlink" Target="http://www.konkoly.hu/cgi-bin/IBVS?6011" TargetMode="External"/><Relationship Id="rId2" Type="http://schemas.openxmlformats.org/officeDocument/2006/relationships/hyperlink" Target="http://www.konkoly.hu/cgi-bin/IBVS?5690" TargetMode="External"/><Relationship Id="rId1" Type="http://schemas.openxmlformats.org/officeDocument/2006/relationships/hyperlink" Target="http://www.konkoly.hu/cgi-bin/IBVS?5287" TargetMode="External"/><Relationship Id="rId6" Type="http://schemas.openxmlformats.org/officeDocument/2006/relationships/hyperlink" Target="http://www.konkoly.hu/cgi-bin/IBVS?5960" TargetMode="External"/><Relationship Id="rId5" Type="http://schemas.openxmlformats.org/officeDocument/2006/relationships/hyperlink" Target="http://www.konkoly.hu/cgi-bin/IBVS?5920" TargetMode="External"/><Relationship Id="rId4" Type="http://schemas.openxmlformats.org/officeDocument/2006/relationships/hyperlink" Target="http://www.konkoly.hu/cgi-bin/IBVS?58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D8" sqref="D7:D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22" t="s">
        <v>98</v>
      </c>
      <c r="B1" s="1"/>
      <c r="C1" s="3"/>
    </row>
    <row r="2" spans="1:7" s="4" customFormat="1" ht="12.95" customHeight="1" x14ac:dyDescent="0.2">
      <c r="A2" s="4" t="s">
        <v>24</v>
      </c>
      <c r="B2" s="4" t="s">
        <v>29</v>
      </c>
    </row>
    <row r="3" spans="1:7" s="4" customFormat="1" ht="12.95" customHeight="1" thickBot="1" x14ac:dyDescent="0.25">
      <c r="C3" s="23" t="s">
        <v>49</v>
      </c>
    </row>
    <row r="4" spans="1:7" s="4" customFormat="1" ht="12.95" customHeight="1" thickTop="1" thickBot="1" x14ac:dyDescent="0.25">
      <c r="A4" s="24" t="s">
        <v>0</v>
      </c>
      <c r="B4" s="24"/>
      <c r="C4" s="25">
        <v>38709.472999999998</v>
      </c>
      <c r="D4" s="26">
        <v>0.53609799999999996</v>
      </c>
    </row>
    <row r="5" spans="1:7" s="4" customFormat="1" ht="12.95" customHeight="1" x14ac:dyDescent="0.2"/>
    <row r="6" spans="1:7" s="4" customFormat="1" ht="12.95" customHeight="1" x14ac:dyDescent="0.2">
      <c r="A6" s="24" t="s">
        <v>1</v>
      </c>
      <c r="B6" s="24"/>
    </row>
    <row r="7" spans="1:7" s="4" customFormat="1" ht="12.95" customHeight="1" x14ac:dyDescent="0.2">
      <c r="A7" s="4" t="s">
        <v>2</v>
      </c>
      <c r="C7" s="27">
        <f>C4</f>
        <v>38709.472999999998</v>
      </c>
    </row>
    <row r="8" spans="1:7" s="4" customFormat="1" ht="12.95" customHeight="1" x14ac:dyDescent="0.2">
      <c r="A8" s="4" t="s">
        <v>3</v>
      </c>
      <c r="C8" s="28">
        <v>0.53610822499999999</v>
      </c>
    </row>
    <row r="9" spans="1:7" s="4" customFormat="1" ht="12.95" customHeight="1" x14ac:dyDescent="0.2">
      <c r="A9" s="29" t="s">
        <v>35</v>
      </c>
      <c r="C9" s="30">
        <v>-9.5</v>
      </c>
      <c r="D9" s="4" t="s">
        <v>36</v>
      </c>
    </row>
    <row r="10" spans="1:7" s="4" customFormat="1" ht="12.95" customHeight="1" thickBot="1" x14ac:dyDescent="0.25">
      <c r="C10" s="31" t="s">
        <v>20</v>
      </c>
      <c r="D10" s="31" t="s">
        <v>21</v>
      </c>
    </row>
    <row r="11" spans="1:7" s="4" customFormat="1" ht="12.95" customHeight="1" x14ac:dyDescent="0.2">
      <c r="A11" s="4" t="s">
        <v>16</v>
      </c>
      <c r="C11" s="32">
        <f ca="1">INTERCEPT(INDIRECT($G$11):G992,INDIRECT($F$11):F992)</f>
        <v>-0.11727240095395092</v>
      </c>
      <c r="D11" s="33"/>
      <c r="F11" s="34" t="str">
        <f>"F"&amp;E19</f>
        <v>F22</v>
      </c>
      <c r="G11" s="32" t="str">
        <f>"G"&amp;E19</f>
        <v>G22</v>
      </c>
    </row>
    <row r="12" spans="1:7" s="4" customFormat="1" ht="12.95" customHeight="1" x14ac:dyDescent="0.2">
      <c r="A12" s="4" t="s">
        <v>17</v>
      </c>
      <c r="C12" s="32">
        <f ca="1">SLOPE(INDIRECT($G$11):G992,INDIRECT($F$11):F992)</f>
        <v>-2.5843279327914096E-7</v>
      </c>
      <c r="D12" s="33"/>
    </row>
    <row r="13" spans="1:7" s="4" customFormat="1" ht="12.95" customHeight="1" x14ac:dyDescent="0.2">
      <c r="A13" s="4" t="s">
        <v>19</v>
      </c>
      <c r="C13" s="33" t="s">
        <v>14</v>
      </c>
      <c r="D13" s="35" t="s">
        <v>44</v>
      </c>
      <c r="E13" s="30">
        <v>1</v>
      </c>
    </row>
    <row r="14" spans="1:7" s="4" customFormat="1" ht="12.95" customHeight="1" x14ac:dyDescent="0.2">
      <c r="D14" s="35" t="s">
        <v>37</v>
      </c>
      <c r="E14" s="23">
        <f ca="1">NOW()+15018.5+$C$9/24</f>
        <v>60372.795970254629</v>
      </c>
    </row>
    <row r="15" spans="1:7" s="4" customFormat="1" ht="12.95" customHeight="1" x14ac:dyDescent="0.2">
      <c r="A15" s="36" t="s">
        <v>18</v>
      </c>
      <c r="C15" s="37">
        <f ca="1">(C7+C11)+(C8+C12)*INT(MAX(F21:F3533))</f>
        <v>56233.652938747895</v>
      </c>
      <c r="D15" s="35" t="s">
        <v>45</v>
      </c>
      <c r="E15" s="23">
        <f ca="1">ROUND(2*(E14-$C$7)/$C$8,0)/2+E13</f>
        <v>40409.5</v>
      </c>
    </row>
    <row r="16" spans="1:7" s="4" customFormat="1" ht="12.95" customHeight="1" x14ac:dyDescent="0.2">
      <c r="A16" s="24" t="s">
        <v>4</v>
      </c>
      <c r="C16" s="38">
        <f ca="1">+C8+C12</f>
        <v>0.53610796656720672</v>
      </c>
      <c r="D16" s="35" t="s">
        <v>38</v>
      </c>
      <c r="E16" s="32">
        <f ca="1">ROUND(2*(E14-$C$15)/$C$16,0)/2+E13</f>
        <v>7721.5</v>
      </c>
    </row>
    <row r="17" spans="1:17" s="4" customFormat="1" ht="12.95" customHeight="1" thickBot="1" x14ac:dyDescent="0.25">
      <c r="A17" s="35" t="s">
        <v>28</v>
      </c>
      <c r="C17" s="4">
        <f>COUNT(C21:C2191)</f>
        <v>11</v>
      </c>
      <c r="D17" s="35" t="s">
        <v>39</v>
      </c>
      <c r="E17" s="39">
        <f ca="1">+$C$15+$C$16*E16-15018.5-$C$9/24</f>
        <v>45355.10643592992</v>
      </c>
    </row>
    <row r="18" spans="1:17" s="4" customFormat="1" ht="12.95" customHeight="1" thickTop="1" thickBot="1" x14ac:dyDescent="0.25">
      <c r="A18" s="24" t="s">
        <v>5</v>
      </c>
      <c r="C18" s="25">
        <f ca="1">+C15</f>
        <v>56233.652938747895</v>
      </c>
      <c r="D18" s="26">
        <f ca="1">+C16</f>
        <v>0.53610796656720672</v>
      </c>
      <c r="E18" s="40" t="s">
        <v>40</v>
      </c>
    </row>
    <row r="19" spans="1:17" s="4" customFormat="1" ht="12.95" customHeight="1" thickTop="1" x14ac:dyDescent="0.2">
      <c r="A19" s="41" t="s">
        <v>41</v>
      </c>
      <c r="E19" s="42">
        <v>22</v>
      </c>
    </row>
    <row r="20" spans="1:17" s="4" customFormat="1" ht="12.95" customHeight="1" thickBot="1" x14ac:dyDescent="0.25">
      <c r="A20" s="31" t="s">
        <v>6</v>
      </c>
      <c r="B20" s="31" t="s">
        <v>7</v>
      </c>
      <c r="C20" s="31" t="s">
        <v>8</v>
      </c>
      <c r="D20" s="31" t="s">
        <v>13</v>
      </c>
      <c r="E20" s="31" t="s">
        <v>9</v>
      </c>
      <c r="F20" s="31" t="s">
        <v>10</v>
      </c>
      <c r="G20" s="31" t="s">
        <v>11</v>
      </c>
      <c r="H20" s="43" t="s">
        <v>12</v>
      </c>
      <c r="I20" s="43" t="s">
        <v>52</v>
      </c>
      <c r="J20" s="43" t="s">
        <v>99</v>
      </c>
      <c r="K20" s="43" t="s">
        <v>100</v>
      </c>
      <c r="L20" s="43" t="s">
        <v>25</v>
      </c>
      <c r="M20" s="43" t="s">
        <v>26</v>
      </c>
      <c r="N20" s="43" t="s">
        <v>27</v>
      </c>
      <c r="O20" s="43" t="s">
        <v>23</v>
      </c>
      <c r="P20" s="44" t="s">
        <v>22</v>
      </c>
      <c r="Q20" s="31" t="s">
        <v>15</v>
      </c>
    </row>
    <row r="21" spans="1:17" s="4" customFormat="1" ht="12.95" customHeight="1" x14ac:dyDescent="0.2">
      <c r="A21" s="4" t="s">
        <v>12</v>
      </c>
      <c r="B21" s="33"/>
      <c r="C21" s="45">
        <f>+C4</f>
        <v>38709.472999999998</v>
      </c>
      <c r="D21" s="45" t="s">
        <v>14</v>
      </c>
      <c r="E21" s="4">
        <f t="shared" ref="E21:E28" si="0">+(C21-C$7)/C$8</f>
        <v>0</v>
      </c>
      <c r="F21" s="4">
        <f t="shared" ref="F21:F31" si="1">ROUND(2*E21,0)/2</f>
        <v>0</v>
      </c>
      <c r="G21" s="4">
        <f>+C21-(C$7+F21*C$8)</f>
        <v>0</v>
      </c>
      <c r="H21" s="4">
        <f>+G21</f>
        <v>0</v>
      </c>
      <c r="O21" s="4">
        <f t="shared" ref="O21:O28" ca="1" si="2">+C$11+C$12*$F21</f>
        <v>-0.11727240095395092</v>
      </c>
      <c r="Q21" s="46">
        <f t="shared" ref="Q21:Q28" si="3">+C21-15018.5</f>
        <v>23690.972999999998</v>
      </c>
    </row>
    <row r="22" spans="1:17" s="4" customFormat="1" ht="12.95" customHeight="1" x14ac:dyDescent="0.2">
      <c r="A22" s="4" t="s">
        <v>32</v>
      </c>
      <c r="B22" s="33" t="s">
        <v>31</v>
      </c>
      <c r="C22" s="45">
        <v>51277.869299999998</v>
      </c>
      <c r="D22" s="45"/>
      <c r="E22" s="4">
        <f t="shared" si="0"/>
        <v>23443.766974476097</v>
      </c>
      <c r="F22" s="4">
        <f t="shared" si="1"/>
        <v>23444</v>
      </c>
      <c r="G22" s="4">
        <f>+C22-(C$7+F22*C$8)</f>
        <v>-0.12492690000362927</v>
      </c>
      <c r="J22" s="4">
        <f>+G22</f>
        <v>-0.12492690000362927</v>
      </c>
      <c r="O22" s="4">
        <f t="shared" ca="1" si="2"/>
        <v>-0.1233310993595871</v>
      </c>
      <c r="Q22" s="46">
        <f t="shared" si="3"/>
        <v>36259.369299999998</v>
      </c>
    </row>
    <row r="23" spans="1:17" s="4" customFormat="1" ht="12.95" customHeight="1" x14ac:dyDescent="0.2">
      <c r="A23" s="4" t="s">
        <v>32</v>
      </c>
      <c r="B23" s="33" t="s">
        <v>33</v>
      </c>
      <c r="C23" s="45">
        <v>51278.138800000001</v>
      </c>
      <c r="D23" s="45"/>
      <c r="E23" s="4">
        <f t="shared" si="0"/>
        <v>23444.269671482849</v>
      </c>
      <c r="F23" s="4">
        <f t="shared" si="1"/>
        <v>23444.5</v>
      </c>
      <c r="G23" s="4">
        <f>+C23-(C$7+F23*C$8)</f>
        <v>-0.1234810124951764</v>
      </c>
      <c r="J23" s="4">
        <f>+G23</f>
        <v>-0.1234810124951764</v>
      </c>
      <c r="O23" s="4">
        <f t="shared" ca="1" si="2"/>
        <v>-0.12333122857598373</v>
      </c>
      <c r="Q23" s="46">
        <f t="shared" si="3"/>
        <v>36259.638800000001</v>
      </c>
    </row>
    <row r="24" spans="1:17" s="4" customFormat="1" ht="12.95" customHeight="1" x14ac:dyDescent="0.2">
      <c r="A24" s="4" t="s">
        <v>30</v>
      </c>
      <c r="B24" s="33" t="s">
        <v>31</v>
      </c>
      <c r="C24" s="45">
        <v>51626.344599999997</v>
      </c>
      <c r="D24" s="45">
        <v>4.4000000000000003E-3</v>
      </c>
      <c r="E24" s="4">
        <f t="shared" si="0"/>
        <v>24093.776214681278</v>
      </c>
      <c r="F24" s="4">
        <f t="shared" si="1"/>
        <v>24094</v>
      </c>
      <c r="I24" s="32">
        <v>-0.11997315000189701</v>
      </c>
      <c r="O24" s="4">
        <f t="shared" ca="1" si="2"/>
        <v>-0.12349908067521854</v>
      </c>
      <c r="Q24" s="46">
        <f t="shared" si="3"/>
        <v>36607.844599999997</v>
      </c>
    </row>
    <row r="25" spans="1:17" s="4" customFormat="1" ht="12.95" customHeight="1" x14ac:dyDescent="0.2">
      <c r="A25" s="4" t="s">
        <v>34</v>
      </c>
      <c r="B25" s="47" t="s">
        <v>31</v>
      </c>
      <c r="C25" s="48">
        <v>53297.926200000002</v>
      </c>
      <c r="D25" s="48">
        <v>4.0000000000000002E-4</v>
      </c>
      <c r="E25" s="4">
        <f t="shared" si="0"/>
        <v>27211.769041596039</v>
      </c>
      <c r="F25" s="4">
        <f t="shared" si="1"/>
        <v>27212</v>
      </c>
      <c r="G25" s="4">
        <f t="shared" ref="G25:G30" si="4">+C25-(C$7+F25*C$8)</f>
        <v>-0.12381869999808259</v>
      </c>
      <c r="I25" s="4">
        <f>+G25</f>
        <v>-0.12381869999808259</v>
      </c>
      <c r="O25" s="4">
        <f t="shared" ca="1" si="2"/>
        <v>-0.1243048741246629</v>
      </c>
      <c r="Q25" s="46">
        <f t="shared" si="3"/>
        <v>38279.426200000002</v>
      </c>
    </row>
    <row r="26" spans="1:17" s="4" customFormat="1" ht="12.95" customHeight="1" x14ac:dyDescent="0.2">
      <c r="A26" s="4" t="s">
        <v>34</v>
      </c>
      <c r="B26" s="47" t="s">
        <v>33</v>
      </c>
      <c r="C26" s="48">
        <v>53301.948199999999</v>
      </c>
      <c r="D26" s="48">
        <v>5.0000000000000001E-4</v>
      </c>
      <c r="E26" s="4">
        <f t="shared" si="0"/>
        <v>27219.271258149416</v>
      </c>
      <c r="F26" s="4">
        <f t="shared" si="1"/>
        <v>27219.5</v>
      </c>
      <c r="G26" s="4">
        <f t="shared" si="4"/>
        <v>-0.12263038750097621</v>
      </c>
      <c r="I26" s="4">
        <f>+G26</f>
        <v>-0.12263038750097621</v>
      </c>
      <c r="O26" s="4">
        <f t="shared" ca="1" si="2"/>
        <v>-0.1243068123706125</v>
      </c>
      <c r="Q26" s="46">
        <f t="shared" si="3"/>
        <v>38283.448199999999</v>
      </c>
    </row>
    <row r="27" spans="1:17" s="4" customFormat="1" ht="12.95" customHeight="1" x14ac:dyDescent="0.2">
      <c r="A27" s="49" t="s">
        <v>42</v>
      </c>
      <c r="B27" s="50" t="s">
        <v>31</v>
      </c>
      <c r="C27" s="49">
        <v>54831.732199999999</v>
      </c>
      <c r="D27" s="49">
        <v>5.0000000000000001E-4</v>
      </c>
      <c r="E27" s="4">
        <f t="shared" si="0"/>
        <v>30072.769728537554</v>
      </c>
      <c r="F27" s="4">
        <f t="shared" si="1"/>
        <v>30073</v>
      </c>
      <c r="G27" s="4">
        <f t="shared" si="4"/>
        <v>-0.12345042500237469</v>
      </c>
      <c r="I27" s="4">
        <f>+G27</f>
        <v>-0.12345042500237469</v>
      </c>
      <c r="O27" s="4">
        <f t="shared" ca="1" si="2"/>
        <v>-0.12504425034623454</v>
      </c>
      <c r="Q27" s="46">
        <f t="shared" si="3"/>
        <v>39813.232199999999</v>
      </c>
    </row>
    <row r="28" spans="1:17" s="4" customFormat="1" ht="12.95" customHeight="1" x14ac:dyDescent="0.2">
      <c r="A28" s="7" t="s">
        <v>43</v>
      </c>
      <c r="B28" s="8" t="s">
        <v>31</v>
      </c>
      <c r="C28" s="7">
        <v>55197.626900000003</v>
      </c>
      <c r="D28" s="7">
        <v>8.0000000000000004E-4</v>
      </c>
      <c r="E28" s="4">
        <f t="shared" si="0"/>
        <v>30755.271288740263</v>
      </c>
      <c r="F28" s="4">
        <f t="shared" si="1"/>
        <v>30755.5</v>
      </c>
      <c r="G28" s="4">
        <f t="shared" si="4"/>
        <v>-0.12261398749251384</v>
      </c>
      <c r="I28" s="4">
        <f>+G28</f>
        <v>-0.12261398749251384</v>
      </c>
      <c r="O28" s="4">
        <f t="shared" ca="1" si="2"/>
        <v>-0.12522063072764753</v>
      </c>
      <c r="Q28" s="46">
        <f t="shared" si="3"/>
        <v>40179.126900000003</v>
      </c>
    </row>
    <row r="29" spans="1:17" s="4" customFormat="1" ht="12.95" customHeight="1" x14ac:dyDescent="0.2">
      <c r="A29" s="51" t="s">
        <v>46</v>
      </c>
      <c r="B29" s="8" t="s">
        <v>33</v>
      </c>
      <c r="C29" s="7">
        <v>55497.842799999999</v>
      </c>
      <c r="D29" s="7">
        <v>2.3999999999999998E-3</v>
      </c>
      <c r="E29" s="4">
        <f>+(C29-C$7)/C$8</f>
        <v>31315.262510661913</v>
      </c>
      <c r="F29" s="4">
        <f t="shared" si="1"/>
        <v>31315.5</v>
      </c>
      <c r="G29" s="4">
        <f t="shared" si="4"/>
        <v>-0.12731998749950435</v>
      </c>
      <c r="I29" s="4">
        <f>+G29</f>
        <v>-0.12731998749950435</v>
      </c>
      <c r="O29" s="4">
        <f ca="1">+C$11+C$12*$F29</f>
        <v>-0.12536535309188385</v>
      </c>
      <c r="Q29" s="46">
        <f>+C29-15018.5</f>
        <v>40479.342799999999</v>
      </c>
    </row>
    <row r="30" spans="1:17" s="4" customFormat="1" ht="12.95" customHeight="1" x14ac:dyDescent="0.2">
      <c r="A30" s="7" t="s">
        <v>47</v>
      </c>
      <c r="B30" s="8" t="s">
        <v>31</v>
      </c>
      <c r="C30" s="7">
        <v>55858.910300000003</v>
      </c>
      <c r="D30" s="7">
        <v>1E-3</v>
      </c>
      <c r="E30" s="4">
        <f>+(C30-C$7)/C$8</f>
        <v>31988.759918764546</v>
      </c>
      <c r="F30" s="4">
        <f t="shared" si="1"/>
        <v>31989</v>
      </c>
      <c r="G30" s="4">
        <f t="shared" si="4"/>
        <v>-0.1287095249936101</v>
      </c>
      <c r="I30" s="4">
        <f>+G30</f>
        <v>-0.1287095249936101</v>
      </c>
      <c r="O30" s="4">
        <f ca="1">+C$11+C$12*$F30</f>
        <v>-0.12553940757815735</v>
      </c>
      <c r="Q30" s="46">
        <f>+C30-15018.5</f>
        <v>40840.410300000003</v>
      </c>
    </row>
    <row r="31" spans="1:17" s="4" customFormat="1" ht="12.95" customHeight="1" x14ac:dyDescent="0.2">
      <c r="A31" s="52" t="s">
        <v>48</v>
      </c>
      <c r="B31" s="53" t="s">
        <v>31</v>
      </c>
      <c r="C31" s="54">
        <v>56233.921499999997</v>
      </c>
      <c r="D31" s="54">
        <v>5.0000000000000001E-4</v>
      </c>
      <c r="E31" s="4">
        <f>+(C31-C$7)/C$8</f>
        <v>32688.266440978401</v>
      </c>
      <c r="F31" s="4">
        <f t="shared" si="1"/>
        <v>32688.5</v>
      </c>
      <c r="G31" s="4">
        <f>+C31-(C$7+F31*C$8)</f>
        <v>-0.12521291250595823</v>
      </c>
      <c r="I31" s="4">
        <f>+G31</f>
        <v>-0.12521291250595823</v>
      </c>
      <c r="O31" s="4">
        <f ca="1">+C$11+C$12*$F31</f>
        <v>-0.12572018131705612</v>
      </c>
      <c r="Q31" s="46">
        <f>+C31-15018.5</f>
        <v>41215.421499999997</v>
      </c>
    </row>
    <row r="32" spans="1:17" s="4" customFormat="1" ht="12.95" customHeight="1" x14ac:dyDescent="0.2">
      <c r="B32" s="33"/>
      <c r="C32" s="55"/>
      <c r="D32" s="55"/>
      <c r="Q32" s="46"/>
    </row>
    <row r="33" spans="2:17" s="4" customFormat="1" ht="12.95" customHeight="1" x14ac:dyDescent="0.2">
      <c r="B33" s="33"/>
      <c r="C33" s="55"/>
      <c r="D33" s="55"/>
      <c r="Q33" s="46"/>
    </row>
    <row r="34" spans="2:17" s="4" customFormat="1" ht="12.95" customHeight="1" x14ac:dyDescent="0.2">
      <c r="B34" s="33"/>
      <c r="C34" s="55"/>
      <c r="D34" s="55"/>
    </row>
    <row r="35" spans="2:17" s="4" customFormat="1" ht="12.95" customHeight="1" x14ac:dyDescent="0.2">
      <c r="B35" s="33"/>
      <c r="C35" s="55"/>
      <c r="D35" s="55"/>
    </row>
    <row r="36" spans="2:17" s="4" customFormat="1" ht="12.95" customHeight="1" x14ac:dyDescent="0.2">
      <c r="B36" s="33"/>
      <c r="C36" s="55"/>
      <c r="D36" s="55"/>
    </row>
    <row r="37" spans="2:17" s="4" customFormat="1" ht="12.95" customHeight="1" x14ac:dyDescent="0.2">
      <c r="B37" s="33"/>
      <c r="C37" s="55"/>
      <c r="D37" s="55"/>
    </row>
    <row r="38" spans="2:17" s="4" customFormat="1" ht="12.95" customHeight="1" x14ac:dyDescent="0.2">
      <c r="B38" s="33"/>
      <c r="C38" s="55"/>
      <c r="D38" s="55"/>
    </row>
    <row r="39" spans="2:17" s="4" customFormat="1" ht="12.95" customHeight="1" x14ac:dyDescent="0.2">
      <c r="B39" s="33"/>
      <c r="C39" s="55"/>
      <c r="D39" s="55"/>
    </row>
    <row r="40" spans="2:17" s="4" customFormat="1" ht="12.95" customHeight="1" x14ac:dyDescent="0.2">
      <c r="B40" s="33"/>
      <c r="C40" s="55"/>
      <c r="D40" s="55"/>
    </row>
    <row r="41" spans="2:17" s="4" customFormat="1" ht="12.95" customHeight="1" x14ac:dyDescent="0.2">
      <c r="B41" s="33"/>
      <c r="C41" s="55"/>
      <c r="D41" s="55"/>
    </row>
    <row r="42" spans="2:17" s="4" customFormat="1" ht="12.95" customHeight="1" x14ac:dyDescent="0.2">
      <c r="B42" s="33"/>
      <c r="C42" s="55"/>
      <c r="D42" s="55"/>
    </row>
    <row r="43" spans="2:17" s="4" customFormat="1" ht="12.95" customHeight="1" x14ac:dyDescent="0.2">
      <c r="B43" s="33"/>
      <c r="C43" s="55"/>
      <c r="D43" s="55"/>
    </row>
    <row r="44" spans="2:17" x14ac:dyDescent="0.2">
      <c r="B44" s="2"/>
      <c r="C44" s="5"/>
      <c r="D44" s="5"/>
    </row>
    <row r="45" spans="2:17" x14ac:dyDescent="0.2">
      <c r="B45" s="2"/>
      <c r="C45" s="5"/>
      <c r="D45" s="5"/>
    </row>
    <row r="46" spans="2:17" x14ac:dyDescent="0.2">
      <c r="C46" s="5"/>
      <c r="D46" s="5"/>
    </row>
    <row r="47" spans="2:17" x14ac:dyDescent="0.2">
      <c r="C47" s="5"/>
      <c r="D47" s="5"/>
    </row>
    <row r="48" spans="2:17" x14ac:dyDescent="0.2">
      <c r="D48" s="2"/>
    </row>
    <row r="49" spans="4:4" x14ac:dyDescent="0.2">
      <c r="D49" s="2"/>
    </row>
    <row r="50" spans="4:4" x14ac:dyDescent="0.2">
      <c r="D50" s="2"/>
    </row>
    <row r="51" spans="4:4" x14ac:dyDescent="0.2">
      <c r="D51" s="2"/>
    </row>
    <row r="52" spans="4:4" x14ac:dyDescent="0.2">
      <c r="D52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1"/>
  <sheetViews>
    <sheetView workbookViewId="0">
      <selection activeCell="A11" sqref="A11:IV448"/>
    </sheetView>
  </sheetViews>
  <sheetFormatPr defaultRowHeight="12.75" x14ac:dyDescent="0.2"/>
  <cols>
    <col min="1" max="1" width="19.7109375" style="5" customWidth="1"/>
    <col min="2" max="2" width="4.42578125" style="6" customWidth="1"/>
    <col min="3" max="3" width="12.7109375" style="5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5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 x14ac:dyDescent="0.25">
      <c r="A1" s="9" t="s">
        <v>50</v>
      </c>
      <c r="I1" s="10" t="s">
        <v>51</v>
      </c>
      <c r="J1" s="11" t="s">
        <v>52</v>
      </c>
    </row>
    <row r="2" spans="1:16" x14ac:dyDescent="0.2">
      <c r="I2" s="12" t="s">
        <v>53</v>
      </c>
      <c r="J2" s="13" t="s">
        <v>54</v>
      </c>
    </row>
    <row r="3" spans="1:16" x14ac:dyDescent="0.2">
      <c r="A3" s="14" t="s">
        <v>55</v>
      </c>
      <c r="I3" s="12" t="s">
        <v>56</v>
      </c>
      <c r="J3" s="13" t="s">
        <v>57</v>
      </c>
    </row>
    <row r="4" spans="1:16" x14ac:dyDescent="0.2">
      <c r="I4" s="12" t="s">
        <v>58</v>
      </c>
      <c r="J4" s="13" t="s">
        <v>57</v>
      </c>
    </row>
    <row r="5" spans="1:16" ht="13.5" thickBot="1" x14ac:dyDescent="0.25">
      <c r="I5" s="15" t="s">
        <v>59</v>
      </c>
      <c r="J5" s="16" t="s">
        <v>60</v>
      </c>
    </row>
    <row r="10" spans="1:16" ht="13.5" thickBot="1" x14ac:dyDescent="0.25"/>
    <row r="11" spans="1:16" ht="12.75" customHeight="1" thickBot="1" x14ac:dyDescent="0.25">
      <c r="A11" s="5" t="str">
        <f t="shared" ref="A11:A18" si="0">P11</f>
        <v>IBVS 5287 </v>
      </c>
      <c r="B11" s="2" t="str">
        <f t="shared" ref="B11:B18" si="1">IF(H11=INT(H11),"I","II")</f>
        <v>I</v>
      </c>
      <c r="C11" s="5">
        <f t="shared" ref="C11:C18" si="2">1*G11</f>
        <v>51626.344599999997</v>
      </c>
      <c r="D11" s="6" t="str">
        <f t="shared" ref="D11:D18" si="3">VLOOKUP(F11,I$1:J$5,2,FALSE)</f>
        <v>vis</v>
      </c>
      <c r="E11" s="17">
        <f>VLOOKUP(C11,Active!C$21:E$973,3,FALSE)</f>
        <v>24093.776214681278</v>
      </c>
      <c r="F11" s="2" t="s">
        <v>59</v>
      </c>
      <c r="G11" s="6" t="str">
        <f t="shared" ref="G11:G18" si="4">MID(I11,3,LEN(I11)-3)</f>
        <v>51626.3446</v>
      </c>
      <c r="H11" s="5">
        <f t="shared" ref="H11:H18" si="5">1*K11</f>
        <v>24094</v>
      </c>
      <c r="I11" s="18" t="s">
        <v>61</v>
      </c>
      <c r="J11" s="19" t="s">
        <v>62</v>
      </c>
      <c r="K11" s="18">
        <v>24094</v>
      </c>
      <c r="L11" s="18" t="s">
        <v>63</v>
      </c>
      <c r="M11" s="19" t="s">
        <v>64</v>
      </c>
      <c r="N11" s="19" t="s">
        <v>65</v>
      </c>
      <c r="O11" s="20" t="s">
        <v>66</v>
      </c>
      <c r="P11" s="21" t="s">
        <v>67</v>
      </c>
    </row>
    <row r="12" spans="1:16" ht="12.75" customHeight="1" thickBot="1" x14ac:dyDescent="0.25">
      <c r="A12" s="5" t="str">
        <f t="shared" si="0"/>
        <v>IBVS 5690 </v>
      </c>
      <c r="B12" s="2" t="str">
        <f t="shared" si="1"/>
        <v>I</v>
      </c>
      <c r="C12" s="5">
        <f t="shared" si="2"/>
        <v>53297.926200000002</v>
      </c>
      <c r="D12" s="6" t="str">
        <f t="shared" si="3"/>
        <v>vis</v>
      </c>
      <c r="E12" s="17">
        <f>VLOOKUP(C12,Active!C$21:E$973,3,FALSE)</f>
        <v>27211.769041596039</v>
      </c>
      <c r="F12" s="2" t="s">
        <v>59</v>
      </c>
      <c r="G12" s="6" t="str">
        <f t="shared" si="4"/>
        <v>53297.9262</v>
      </c>
      <c r="H12" s="5">
        <f t="shared" si="5"/>
        <v>27212</v>
      </c>
      <c r="I12" s="18" t="s">
        <v>68</v>
      </c>
      <c r="J12" s="19" t="s">
        <v>69</v>
      </c>
      <c r="K12" s="18">
        <v>27212</v>
      </c>
      <c r="L12" s="18" t="s">
        <v>70</v>
      </c>
      <c r="M12" s="19" t="s">
        <v>64</v>
      </c>
      <c r="N12" s="19" t="s">
        <v>65</v>
      </c>
      <c r="O12" s="20" t="s">
        <v>71</v>
      </c>
      <c r="P12" s="21" t="s">
        <v>72</v>
      </c>
    </row>
    <row r="13" spans="1:16" ht="12.75" customHeight="1" thickBot="1" x14ac:dyDescent="0.25">
      <c r="A13" s="5" t="str">
        <f t="shared" si="0"/>
        <v>IBVS 5690 </v>
      </c>
      <c r="B13" s="2" t="str">
        <f t="shared" si="1"/>
        <v>I</v>
      </c>
      <c r="C13" s="5">
        <f t="shared" si="2"/>
        <v>53301.948199999999</v>
      </c>
      <c r="D13" s="6" t="str">
        <f t="shared" si="3"/>
        <v>vis</v>
      </c>
      <c r="E13" s="17">
        <f>VLOOKUP(C13,Active!C$21:E$973,3,FALSE)</f>
        <v>27219.271258149416</v>
      </c>
      <c r="F13" s="2" t="s">
        <v>59</v>
      </c>
      <c r="G13" s="6" t="str">
        <f t="shared" si="4"/>
        <v>53301.9482</v>
      </c>
      <c r="H13" s="5">
        <f t="shared" si="5"/>
        <v>27220</v>
      </c>
      <c r="I13" s="18" t="s">
        <v>73</v>
      </c>
      <c r="J13" s="19" t="s">
        <v>74</v>
      </c>
      <c r="K13" s="18">
        <v>27220</v>
      </c>
      <c r="L13" s="18" t="s">
        <v>75</v>
      </c>
      <c r="M13" s="19" t="s">
        <v>64</v>
      </c>
      <c r="N13" s="19" t="s">
        <v>65</v>
      </c>
      <c r="O13" s="20" t="s">
        <v>71</v>
      </c>
      <c r="P13" s="21" t="s">
        <v>72</v>
      </c>
    </row>
    <row r="14" spans="1:16" ht="12.75" customHeight="1" thickBot="1" x14ac:dyDescent="0.25">
      <c r="A14" s="5" t="str">
        <f t="shared" si="0"/>
        <v>IBVS 5871 </v>
      </c>
      <c r="B14" s="2" t="str">
        <f t="shared" si="1"/>
        <v>II</v>
      </c>
      <c r="C14" s="5">
        <f t="shared" si="2"/>
        <v>54831.732199999999</v>
      </c>
      <c r="D14" s="6" t="str">
        <f t="shared" si="3"/>
        <v>vis</v>
      </c>
      <c r="E14" s="17">
        <f>VLOOKUP(C14,Active!C$21:E$973,3,FALSE)</f>
        <v>30072.769728537554</v>
      </c>
      <c r="F14" s="2" t="s">
        <v>59</v>
      </c>
      <c r="G14" s="6" t="str">
        <f t="shared" si="4"/>
        <v>54831.7322</v>
      </c>
      <c r="H14" s="5">
        <f t="shared" si="5"/>
        <v>30073.5</v>
      </c>
      <c r="I14" s="18" t="s">
        <v>76</v>
      </c>
      <c r="J14" s="19" t="s">
        <v>77</v>
      </c>
      <c r="K14" s="18">
        <v>30073.5</v>
      </c>
      <c r="L14" s="18" t="s">
        <v>78</v>
      </c>
      <c r="M14" s="19" t="s">
        <v>79</v>
      </c>
      <c r="N14" s="19" t="s">
        <v>59</v>
      </c>
      <c r="O14" s="20" t="s">
        <v>80</v>
      </c>
      <c r="P14" s="21" t="s">
        <v>81</v>
      </c>
    </row>
    <row r="15" spans="1:16" ht="12.75" customHeight="1" thickBot="1" x14ac:dyDescent="0.25">
      <c r="A15" s="5" t="str">
        <f t="shared" si="0"/>
        <v>IBVS 5920 </v>
      </c>
      <c r="B15" s="2" t="str">
        <f t="shared" si="1"/>
        <v>I</v>
      </c>
      <c r="C15" s="5">
        <f t="shared" si="2"/>
        <v>55197.626900000003</v>
      </c>
      <c r="D15" s="6" t="str">
        <f t="shared" si="3"/>
        <v>vis</v>
      </c>
      <c r="E15" s="17">
        <f>VLOOKUP(C15,Active!C$21:E$973,3,FALSE)</f>
        <v>30755.271288740263</v>
      </c>
      <c r="F15" s="2" t="s">
        <v>59</v>
      </c>
      <c r="G15" s="6" t="str">
        <f t="shared" si="4"/>
        <v>55197.6269</v>
      </c>
      <c r="H15" s="5">
        <f t="shared" si="5"/>
        <v>30756</v>
      </c>
      <c r="I15" s="18" t="s">
        <v>82</v>
      </c>
      <c r="J15" s="19" t="s">
        <v>83</v>
      </c>
      <c r="K15" s="18">
        <v>30756</v>
      </c>
      <c r="L15" s="18" t="s">
        <v>84</v>
      </c>
      <c r="M15" s="19" t="s">
        <v>79</v>
      </c>
      <c r="N15" s="19" t="s">
        <v>59</v>
      </c>
      <c r="O15" s="20" t="s">
        <v>80</v>
      </c>
      <c r="P15" s="21" t="s">
        <v>85</v>
      </c>
    </row>
    <row r="16" spans="1:16" ht="12.75" customHeight="1" thickBot="1" x14ac:dyDescent="0.25">
      <c r="A16" s="5" t="str">
        <f t="shared" si="0"/>
        <v>IBVS 5960 </v>
      </c>
      <c r="B16" s="2" t="str">
        <f t="shared" si="1"/>
        <v>I</v>
      </c>
      <c r="C16" s="5">
        <f t="shared" si="2"/>
        <v>55497.842799999999</v>
      </c>
      <c r="D16" s="6" t="str">
        <f t="shared" si="3"/>
        <v>vis</v>
      </c>
      <c r="E16" s="17">
        <f>VLOOKUP(C16,Active!C$21:E$973,3,FALSE)</f>
        <v>31315.262510661913</v>
      </c>
      <c r="F16" s="2" t="s">
        <v>59</v>
      </c>
      <c r="G16" s="6" t="str">
        <f t="shared" si="4"/>
        <v>55497.8428</v>
      </c>
      <c r="H16" s="5">
        <f t="shared" si="5"/>
        <v>31316</v>
      </c>
      <c r="I16" s="18" t="s">
        <v>86</v>
      </c>
      <c r="J16" s="19" t="s">
        <v>87</v>
      </c>
      <c r="K16" s="18">
        <v>31316</v>
      </c>
      <c r="L16" s="18" t="s">
        <v>88</v>
      </c>
      <c r="M16" s="19" t="s">
        <v>79</v>
      </c>
      <c r="N16" s="19" t="s">
        <v>59</v>
      </c>
      <c r="O16" s="20" t="s">
        <v>80</v>
      </c>
      <c r="P16" s="21" t="s">
        <v>89</v>
      </c>
    </row>
    <row r="17" spans="1:16" ht="12.75" customHeight="1" thickBot="1" x14ac:dyDescent="0.25">
      <c r="A17" s="5" t="str">
        <f t="shared" si="0"/>
        <v>IBVS 6011 </v>
      </c>
      <c r="B17" s="2" t="str">
        <f t="shared" si="1"/>
        <v>II</v>
      </c>
      <c r="C17" s="5">
        <f t="shared" si="2"/>
        <v>55858.910300000003</v>
      </c>
      <c r="D17" s="6" t="str">
        <f t="shared" si="3"/>
        <v>vis</v>
      </c>
      <c r="E17" s="17">
        <f>VLOOKUP(C17,Active!C$21:E$973,3,FALSE)</f>
        <v>31988.759918764546</v>
      </c>
      <c r="F17" s="2" t="s">
        <v>59</v>
      </c>
      <c r="G17" s="6" t="str">
        <f t="shared" si="4"/>
        <v>55858.9103</v>
      </c>
      <c r="H17" s="5">
        <f t="shared" si="5"/>
        <v>31989.5</v>
      </c>
      <c r="I17" s="18" t="s">
        <v>90</v>
      </c>
      <c r="J17" s="19" t="s">
        <v>91</v>
      </c>
      <c r="K17" s="18">
        <v>31989.5</v>
      </c>
      <c r="L17" s="18" t="s">
        <v>92</v>
      </c>
      <c r="M17" s="19" t="s">
        <v>79</v>
      </c>
      <c r="N17" s="19" t="s">
        <v>59</v>
      </c>
      <c r="O17" s="20" t="s">
        <v>80</v>
      </c>
      <c r="P17" s="21" t="s">
        <v>93</v>
      </c>
    </row>
    <row r="18" spans="1:16" ht="12.75" customHeight="1" thickBot="1" x14ac:dyDescent="0.25">
      <c r="A18" s="5" t="str">
        <f t="shared" si="0"/>
        <v>IBVS 6042 </v>
      </c>
      <c r="B18" s="2" t="str">
        <f t="shared" si="1"/>
        <v>I</v>
      </c>
      <c r="C18" s="5">
        <f t="shared" si="2"/>
        <v>56233.921499999997</v>
      </c>
      <c r="D18" s="6" t="str">
        <f t="shared" si="3"/>
        <v>vis</v>
      </c>
      <c r="E18" s="17">
        <f>VLOOKUP(C18,Active!C$21:E$973,3,FALSE)</f>
        <v>32688.266440978401</v>
      </c>
      <c r="F18" s="2" t="s">
        <v>59</v>
      </c>
      <c r="G18" s="6" t="str">
        <f t="shared" si="4"/>
        <v>56233.9215</v>
      </c>
      <c r="H18" s="5">
        <f t="shared" si="5"/>
        <v>32689</v>
      </c>
      <c r="I18" s="18" t="s">
        <v>94</v>
      </c>
      <c r="J18" s="19" t="s">
        <v>95</v>
      </c>
      <c r="K18" s="18">
        <v>32689</v>
      </c>
      <c r="L18" s="18" t="s">
        <v>96</v>
      </c>
      <c r="M18" s="19" t="s">
        <v>79</v>
      </c>
      <c r="N18" s="19" t="s">
        <v>59</v>
      </c>
      <c r="O18" s="20" t="s">
        <v>80</v>
      </c>
      <c r="P18" s="21" t="s">
        <v>97</v>
      </c>
    </row>
    <row r="19" spans="1:16" x14ac:dyDescent="0.2">
      <c r="B19" s="2"/>
      <c r="F19" s="2"/>
    </row>
    <row r="20" spans="1:16" x14ac:dyDescent="0.2">
      <c r="B20" s="2"/>
      <c r="F20" s="2"/>
    </row>
    <row r="21" spans="1:16" x14ac:dyDescent="0.2">
      <c r="B21" s="2"/>
      <c r="F21" s="2"/>
    </row>
    <row r="22" spans="1:16" x14ac:dyDescent="0.2">
      <c r="B22" s="2"/>
      <c r="F22" s="2"/>
    </row>
    <row r="23" spans="1:16" x14ac:dyDescent="0.2">
      <c r="B23" s="2"/>
      <c r="F23" s="2"/>
    </row>
    <row r="24" spans="1:16" x14ac:dyDescent="0.2">
      <c r="B24" s="2"/>
      <c r="F24" s="2"/>
    </row>
    <row r="25" spans="1:16" x14ac:dyDescent="0.2">
      <c r="B25" s="2"/>
      <c r="F25" s="2"/>
    </row>
    <row r="26" spans="1:16" x14ac:dyDescent="0.2">
      <c r="B26" s="2"/>
      <c r="F26" s="2"/>
    </row>
    <row r="27" spans="1:16" x14ac:dyDescent="0.2">
      <c r="B27" s="2"/>
      <c r="F27" s="2"/>
    </row>
    <row r="28" spans="1:16" x14ac:dyDescent="0.2">
      <c r="B28" s="2"/>
      <c r="F28" s="2"/>
    </row>
    <row r="29" spans="1:16" x14ac:dyDescent="0.2">
      <c r="B29" s="2"/>
      <c r="F29" s="2"/>
    </row>
    <row r="30" spans="1:16" x14ac:dyDescent="0.2">
      <c r="B30" s="2"/>
      <c r="F30" s="2"/>
    </row>
    <row r="31" spans="1:16" x14ac:dyDescent="0.2">
      <c r="B31" s="2"/>
      <c r="F31" s="2"/>
    </row>
    <row r="32" spans="1:16" x14ac:dyDescent="0.2">
      <c r="B32" s="2"/>
      <c r="F32" s="2"/>
    </row>
    <row r="33" spans="2:6" x14ac:dyDescent="0.2">
      <c r="B33" s="2"/>
      <c r="F33" s="2"/>
    </row>
    <row r="34" spans="2:6" x14ac:dyDescent="0.2">
      <c r="B34" s="2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</sheetData>
  <phoneticPr fontId="7" type="noConversion"/>
  <hyperlinks>
    <hyperlink ref="P11" r:id="rId1" display="http://www.konkoly.hu/cgi-bin/IBVS?5287"/>
    <hyperlink ref="P12" r:id="rId2" display="http://www.konkoly.hu/cgi-bin/IBVS?5690"/>
    <hyperlink ref="P13" r:id="rId3" display="http://www.konkoly.hu/cgi-bin/IBVS?5690"/>
    <hyperlink ref="P14" r:id="rId4" display="http://www.konkoly.hu/cgi-bin/IBVS?5871"/>
    <hyperlink ref="P15" r:id="rId5" display="http://www.konkoly.hu/cgi-bin/IBVS?5920"/>
    <hyperlink ref="P16" r:id="rId6" display="http://www.konkoly.hu/cgi-bin/IBVS?5960"/>
    <hyperlink ref="P17" r:id="rId7" display="http://www.konkoly.hu/cgi-bin/IBVS?6011"/>
    <hyperlink ref="P18" r:id="rId8" display="http://www.konkoly.hu/cgi-bin/IBVS?604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2024-03-03T06:06:11Z</dcterms:modified>
</cp:coreProperties>
</file>