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EA1273A-76C1-437E-94F1-2D9947879F0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J30" i="1"/>
  <c r="Q30" i="1"/>
  <c r="C7" i="1"/>
  <c r="E25" i="1"/>
  <c r="F25" i="1"/>
  <c r="C8" i="1"/>
  <c r="D9" i="1"/>
  <c r="C9" i="1"/>
  <c r="C21" i="1"/>
  <c r="E21" i="1"/>
  <c r="F21" i="1"/>
  <c r="E24" i="1"/>
  <c r="F24" i="1"/>
  <c r="G24" i="1"/>
  <c r="J24" i="1"/>
  <c r="E26" i="1"/>
  <c r="F26" i="1"/>
  <c r="G26" i="1"/>
  <c r="K26" i="1"/>
  <c r="E27" i="1"/>
  <c r="F27" i="1"/>
  <c r="E29" i="1"/>
  <c r="F29" i="1"/>
  <c r="G29" i="1"/>
  <c r="J29" i="1"/>
  <c r="Q23" i="1"/>
  <c r="G16" i="3"/>
  <c r="C16" i="3"/>
  <c r="E16" i="3"/>
  <c r="G15" i="3"/>
  <c r="C15" i="3"/>
  <c r="G14" i="3"/>
  <c r="C14" i="3"/>
  <c r="E14" i="3"/>
  <c r="G13" i="3"/>
  <c r="C13" i="3"/>
  <c r="E13" i="3"/>
  <c r="G18" i="3"/>
  <c r="C18" i="3"/>
  <c r="E18" i="3"/>
  <c r="G12" i="3"/>
  <c r="C12" i="3"/>
  <c r="E12" i="3"/>
  <c r="G17" i="3"/>
  <c r="C17" i="3"/>
  <c r="G11" i="3"/>
  <c r="C11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8" i="3"/>
  <c r="D18" i="3"/>
  <c r="B18" i="3"/>
  <c r="A18" i="3"/>
  <c r="H12" i="3"/>
  <c r="B12" i="3"/>
  <c r="D12" i="3"/>
  <c r="A12" i="3"/>
  <c r="H17" i="3"/>
  <c r="D17" i="3"/>
  <c r="B17" i="3"/>
  <c r="A17" i="3"/>
  <c r="H11" i="3"/>
  <c r="B11" i="3"/>
  <c r="D11" i="3"/>
  <c r="A11" i="3"/>
  <c r="Q29" i="1"/>
  <c r="Q28" i="1"/>
  <c r="F16" i="1"/>
  <c r="F17" i="1" s="1"/>
  <c r="C17" i="1"/>
  <c r="Q27" i="1"/>
  <c r="Q25" i="1"/>
  <c r="Q26" i="1"/>
  <c r="E24" i="2"/>
  <c r="F24" i="2"/>
  <c r="G24" i="2"/>
  <c r="J24" i="2"/>
  <c r="C21" i="2"/>
  <c r="E21" i="2"/>
  <c r="F21" i="2"/>
  <c r="E22" i="2"/>
  <c r="F22" i="2"/>
  <c r="G22" i="2"/>
  <c r="I22" i="2"/>
  <c r="E23" i="2"/>
  <c r="F23" i="2"/>
  <c r="G23" i="2"/>
  <c r="I23" i="2"/>
  <c r="Q24" i="2"/>
  <c r="E15" i="2"/>
  <c r="E16" i="2" s="1"/>
  <c r="E17" i="2" s="1"/>
  <c r="C17" i="2"/>
  <c r="Q21" i="2"/>
  <c r="Q22" i="2"/>
  <c r="Q23" i="2"/>
  <c r="Q24" i="1"/>
  <c r="Q22" i="1"/>
  <c r="Q21" i="1"/>
  <c r="E11" i="3"/>
  <c r="E15" i="3"/>
  <c r="G21" i="2"/>
  <c r="E17" i="3"/>
  <c r="G25" i="1"/>
  <c r="K25" i="1"/>
  <c r="E22" i="1"/>
  <c r="F22" i="1"/>
  <c r="G22" i="1"/>
  <c r="J22" i="1"/>
  <c r="E28" i="1"/>
  <c r="F28" i="1"/>
  <c r="G28" i="1"/>
  <c r="K28" i="1"/>
  <c r="G21" i="1"/>
  <c r="E23" i="1"/>
  <c r="F23" i="1"/>
  <c r="G23" i="1"/>
  <c r="I23" i="1"/>
  <c r="G27" i="1"/>
  <c r="K27" i="1"/>
  <c r="H21" i="1"/>
  <c r="C11" i="2"/>
  <c r="C12" i="2"/>
  <c r="C16" i="2"/>
  <c r="D18" i="2"/>
  <c r="H21" i="2"/>
  <c r="O21" i="2"/>
  <c r="O22" i="2"/>
  <c r="O24" i="2"/>
  <c r="O23" i="2"/>
  <c r="C15" i="2"/>
  <c r="C18" i="2"/>
  <c r="C12" i="1"/>
  <c r="C11" i="1"/>
  <c r="O23" i="1" l="1"/>
  <c r="O30" i="1"/>
  <c r="O26" i="1"/>
  <c r="O25" i="1"/>
  <c r="O21" i="1"/>
  <c r="O28" i="1"/>
  <c r="O29" i="1"/>
  <c r="O24" i="1"/>
  <c r="C15" i="1"/>
  <c r="F18" i="1" s="1"/>
  <c r="O27" i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<sst xmlns="http://schemas.openxmlformats.org/spreadsheetml/2006/main" count="189" uniqueCount="116">
  <si>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</si>
  <si>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</si>
  <si>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</si>
  <si>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</si>
  <si>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</si>
  <si>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</si>
  <si>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</si>
  <si>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</si>
  <si>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</si>
  <si>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</si>
  <si>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</si>
  <si>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</si>
  <si>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</si>
  <si>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</si>
  <si>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</si>
  <si>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</si>
  <si>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</si>
  <si>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</si>
  <si>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</si>
  <si>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</si>
  <si>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</si>
  <si>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</si>
  <si>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</si>
  <si>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</si>
  <si>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</si>
  <si>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</si>
  <si>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</si>
  <si>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</si>
  <si>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</si>
  <si>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</si>
  <si>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EB/KE</t>
  </si>
  <si>
    <t>IBVS 5484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</si>
  <si>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</si>
  <si>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</si>
  <si>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</si>
  <si>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</si>
  <si>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</si>
  <si>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</si>
  <si>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</si>
  <si>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</si>
  <si>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I</t>
  </si>
  <si>
    <t>RHN 2008</t>
  </si>
  <si>
    <t>Nelson</t>
  </si>
  <si>
    <t>V462 Per / GSC 2353-0021</t>
  </si>
  <si>
    <t>Start of linear fit &gt;&gt;&gt;&gt;&gt;&gt;&gt;&gt;&gt;&gt;&gt;&gt;&gt;&gt;&gt;&gt;&gt;&gt;&gt;&gt;&gt;</t>
  </si>
  <si>
    <t>IBVS 5875</t>
  </si>
  <si>
    <t>OEJV 0107</t>
  </si>
  <si>
    <t>IBVS 5945</t>
  </si>
  <si>
    <t>Add cycle</t>
  </si>
  <si>
    <t>Old Cycle</t>
  </si>
  <si>
    <t>IBVS 6011</t>
  </si>
  <si>
    <t>IBVS 6118</t>
  </si>
  <si>
    <t>V0462 Per / GSC 2353-0021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</si>
  <si>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</si>
  <si>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</si>
  <si>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</si>
  <si>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</si>
  <si>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</si>
  <si>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</si>
  <si>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</si>
  <si>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</si>
  <si>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</si>
  <si>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</si>
  <si>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</si>
  <si>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2452279.4433 </t>
  </si>
  <si>
    <t> 04.01.2002 22:38 </t>
  </si>
  <si>
    <t> 0.1832 </t>
  </si>
  <si>
    <t>E </t>
  </si>
  <si>
    <t>-I</t>
  </si>
  <si>
    <t> K.&amp; M.Rätz </t>
  </si>
  <si>
    <t>BAVM 158 </t>
  </si>
  <si>
    <t>2452323.370 </t>
  </si>
  <si>
    <t> 17.02.2002 20:52 </t>
  </si>
  <si>
    <t>10529</t>
  </si>
  <si>
    <t> 0.184 </t>
  </si>
  <si>
    <t>?</t>
  </si>
  <si>
    <t> R.Diethelm </t>
  </si>
  <si>
    <t> BBS 127 </t>
  </si>
  <si>
    <t>2454084.4599 </t>
  </si>
  <si>
    <t> 14.12.2006 23:02 </t>
  </si>
  <si>
    <t>12052.5</t>
  </si>
  <si>
    <t> 0.2104 </t>
  </si>
  <si>
    <t>C </t>
  </si>
  <si>
    <t> F. Agerer </t>
  </si>
  <si>
    <t>BAVM 183 </t>
  </si>
  <si>
    <t>2454513.3164 </t>
  </si>
  <si>
    <t> 16.02.2008 19:35 </t>
  </si>
  <si>
    <t>12423.5</t>
  </si>
  <si>
    <t> 0.2158 </t>
  </si>
  <si>
    <t>R</t>
  </si>
  <si>
    <t> M.Lehky </t>
  </si>
  <si>
    <t>OEJV 0107 </t>
  </si>
  <si>
    <t>2454724.8549 </t>
  </si>
  <si>
    <t> 15.09.2008 08:31 </t>
  </si>
  <si>
    <t>12606.5</t>
  </si>
  <si>
    <t> 0.2185 </t>
  </si>
  <si>
    <t> R.Nelson </t>
  </si>
  <si>
    <t>IBVS 5875 </t>
  </si>
  <si>
    <t>2455205.7320 </t>
  </si>
  <si>
    <t> 09.01.2010 05:34 </t>
  </si>
  <si>
    <t>13022.5</t>
  </si>
  <si>
    <t> 0.2275 </t>
  </si>
  <si>
    <t>IBVS 5945 </t>
  </si>
  <si>
    <t>2455866.9365 </t>
  </si>
  <si>
    <t> 01.11.2011 10:28 </t>
  </si>
  <si>
    <t>13594.5</t>
  </si>
  <si>
    <t> 0.2383 </t>
  </si>
  <si>
    <t>IBVS 6011 </t>
  </si>
  <si>
    <t>2456629.287 </t>
  </si>
  <si>
    <t> 02.12.2013 18:53 </t>
  </si>
  <si>
    <t>14254</t>
  </si>
  <si>
    <t> 0.251 </t>
  </si>
  <si>
    <t>o</t>
  </si>
  <si>
    <t> W.Moschner &amp; P.Frank </t>
  </si>
  <si>
    <t>BAVM 234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</si>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</sst>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8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V462 Per - O-C Diagr.</a:t>
            </a:r>
          </a:p>
        </c:rich>
      </c:tx>
      <c:layout>
        <c:manualLayout>
          <c:xMode val="edge"/>
          <c:yMode val="edge"/>
          <c:x val="0.3783382789317507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1275964391691"/>
          <c:y val="0.14634168126798494"/>
          <c:w val="0.8278931750741840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2A-4D9A-8F4B-9215646397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0.18444300000555813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2A-4D9A-8F4B-9215646397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0.18319699999847217</c:v>
                </c:pt>
                <c:pt idx="3">
                  <c:v>0.21041749999858439</c:v>
                </c:pt>
                <c:pt idx="8">
                  <c:v>0.25101799999538343</c:v>
                </c:pt>
                <c:pt idx="9">
                  <c:v>0.25720000000001164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2A-4D9A-8F4B-9215646397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0.2157945000071777</c:v>
                </c:pt>
                <c:pt idx="5">
                  <c:v>0.21853549999650568</c:v>
                </c:pt>
                <c:pt idx="6">
                  <c:v>0.22750750000705011</c:v>
                </c:pt>
                <c:pt idx="7">
                  <c:v>0.2383315000042785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2A-4D9A-8F4B-9215646397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2A-4D9A-8F4B-9215646397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2A-4D9A-8F4B-9215646397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2A-4D9A-8F4B-9215646397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-5.2746977990822397E-4</c:v>
                </c:pt>
                <c:pt idx="1">
                  <c:v>0.18345141705766199</c:v>
                </c:pt>
                <c:pt idx="2">
                  <c:v>0.18411781660964252</c:v>
                </c:pt>
                <c:pt idx="3">
                  <c:v>0.21083517759496692</c:v>
                </c:pt>
                <c:pt idx="4">
                  <c:v>0.21734134164193467</c:v>
                </c:pt>
                <c:pt idx="5">
                  <c:v>0.22055058158963034</c:v>
                </c:pt>
                <c:pt idx="6">
                  <c:v>0.22784590300078553</c:v>
                </c:pt>
                <c:pt idx="7">
                  <c:v>0.23787696994112392</c:v>
                </c:pt>
                <c:pt idx="8">
                  <c:v>0.24944250953404906</c:v>
                </c:pt>
                <c:pt idx="9">
                  <c:v>0.25551025282313489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2A-4D9A-8F4B-92156463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967024"/>
        <c:axId val="1"/>
      </c:scatterChart>
      <c:valAx>
        <c:axId val="72596702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551928783383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967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93768545994065"/>
          <c:y val="0.92073298764483702"/>
          <c:w val="0.6201780415430266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V462 Per - O-C Diagr.</a:t>
            </a:r>
          </a:p>
        </c:rich>
      </c:tx>
      <c:layout>
        <c:manualLayout>
          <c:xMode val="edge"/>
          <c:yMode val="edge"/>
          <c:x val="0.3792598814037134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5204261001535"/>
          <c:y val="0.1458966565349544"/>
          <c:w val="0.8222234117815564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F-4D5E-AA85-8E52FA8B18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0.18444300000555813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3F-4D5E-AA85-8E52FA8B18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0.18319699999847217</c:v>
                </c:pt>
                <c:pt idx="3">
                  <c:v>0.21041749999858439</c:v>
                </c:pt>
                <c:pt idx="8">
                  <c:v>0.25101799999538343</c:v>
                </c:pt>
                <c:pt idx="9">
                  <c:v>0.25720000000001164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3F-4D5E-AA85-8E52FA8B18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0.2157945000071777</c:v>
                </c:pt>
                <c:pt idx="5">
                  <c:v>0.21853549999650568</c:v>
                </c:pt>
                <c:pt idx="6">
                  <c:v>0.22750750000705011</c:v>
                </c:pt>
                <c:pt idx="7">
                  <c:v>0.2383315000042785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3F-4D5E-AA85-8E52FA8B18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3F-4D5E-AA85-8E52FA8B18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3F-4D5E-AA85-8E52FA8B18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3F-4D5E-AA85-8E52FA8B18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10491</c:v>
                </c:pt>
                <c:pt idx="2">
                  <c:v>10529</c:v>
                </c:pt>
                <c:pt idx="3">
                  <c:v>12052.5</c:v>
                </c:pt>
                <c:pt idx="4">
                  <c:v>12423.5</c:v>
                </c:pt>
                <c:pt idx="5">
                  <c:v>12606.5</c:v>
                </c:pt>
                <c:pt idx="6">
                  <c:v>13022.5</c:v>
                </c:pt>
                <c:pt idx="7">
                  <c:v>13594.5</c:v>
                </c:pt>
                <c:pt idx="8">
                  <c:v>14254</c:v>
                </c:pt>
                <c:pt idx="9">
                  <c:v>14600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-5.2746977990822397E-4</c:v>
                </c:pt>
                <c:pt idx="1">
                  <c:v>0.18345141705766199</c:v>
                </c:pt>
                <c:pt idx="2">
                  <c:v>0.18411781660964252</c:v>
                </c:pt>
                <c:pt idx="3">
                  <c:v>0.21083517759496692</c:v>
                </c:pt>
                <c:pt idx="4">
                  <c:v>0.21734134164193467</c:v>
                </c:pt>
                <c:pt idx="5">
                  <c:v>0.22055058158963034</c:v>
                </c:pt>
                <c:pt idx="6">
                  <c:v>0.22784590300078553</c:v>
                </c:pt>
                <c:pt idx="7">
                  <c:v>0.23787696994112392</c:v>
                </c:pt>
                <c:pt idx="8">
                  <c:v>0.24944250953404906</c:v>
                </c:pt>
                <c:pt idx="9">
                  <c:v>0.25551025282313489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3F-4D5E-AA85-8E52FA8B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955104"/>
        <c:axId val="1"/>
      </c:scatterChart>
      <c:valAx>
        <c:axId val="87695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4522212501221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95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55586662778263"/>
          <c:y val="0.92097264437689974"/>
          <c:w val="0.6192601924759404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V462 Per - O-C Diagr.</a:t>
            </a:r>
          </a:p>
        </c:rich>
      </c:tx>
      <c:layout>
        <c:manualLayout>
          <c:xMode val="edge"/>
          <c:yMode val="edge"/>
          <c:x val="0.3783382789317507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85163204747776"/>
          <c:y val="0.14723926380368099"/>
          <c:w val="0.8011869436201780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-12052</c:v>
                </c:pt>
                <c:pt idx="1">
                  <c:v>-1561</c:v>
                </c:pt>
                <c:pt idx="2">
                  <c:v>0.5</c:v>
                </c:pt>
                <c:pt idx="3">
                  <c:v>554.5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-2.9795846785418689E-6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F2-4DC2-98A0-C422BD47EC6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-12052</c:v>
                </c:pt>
                <c:pt idx="1">
                  <c:v>-1561</c:v>
                </c:pt>
                <c:pt idx="2">
                  <c:v>0.5</c:v>
                </c:pt>
                <c:pt idx="3">
                  <c:v>554.5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2.2998036001808941E-5</c:v>
                </c:pt>
                <c:pt idx="2">
                  <c:v>-2.0018451323267072E-5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F2-4DC2-98A0-C422BD47EC61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-12052</c:v>
                </c:pt>
                <c:pt idx="1">
                  <c:v>-1561</c:v>
                </c:pt>
                <c:pt idx="2">
                  <c:v>0.5</c:v>
                </c:pt>
                <c:pt idx="3">
                  <c:v>554.5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3">
                  <c:v>2.5238587113562971E-5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F2-4DC2-98A0-C422BD47EC61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-12052</c:v>
                </c:pt>
                <c:pt idx="1">
                  <c:v>-1561</c:v>
                </c:pt>
                <c:pt idx="2">
                  <c:v>0.5</c:v>
                </c:pt>
                <c:pt idx="3">
                  <c:v>554.5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F2-4DC2-98A0-C422BD47EC61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-12052</c:v>
                </c:pt>
                <c:pt idx="1">
                  <c:v>-1561</c:v>
                </c:pt>
                <c:pt idx="2">
                  <c:v>0.5</c:v>
                </c:pt>
                <c:pt idx="3">
                  <c:v>554.5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F2-4DC2-98A0-C422BD47EC6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-12052</c:v>
                </c:pt>
                <c:pt idx="1">
                  <c:v>-1561</c:v>
                </c:pt>
                <c:pt idx="2">
                  <c:v>0.5</c:v>
                </c:pt>
                <c:pt idx="3">
                  <c:v>554.5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F2-4DC2-98A0-C422BD47EC6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-12052</c:v>
                </c:pt>
                <c:pt idx="1">
                  <c:v>-1561</c:v>
                </c:pt>
                <c:pt idx="2">
                  <c:v>0.5</c:v>
                </c:pt>
                <c:pt idx="3">
                  <c:v>554.5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F2-4DC2-98A0-C422BD47EC6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-12052</c:v>
                </c:pt>
                <c:pt idx="1">
                  <c:v>-1561</c:v>
                </c:pt>
                <c:pt idx="2">
                  <c:v>0.5</c:v>
                </c:pt>
                <c:pt idx="3">
                  <c:v>554.5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-1.7288574726608428E-6</c:v>
                </c:pt>
                <c:pt idx="1">
                  <c:v>7.8679502767311558E-6</c:v>
                </c:pt>
                <c:pt idx="2">
                  <c:v>9.296357034969227E-6</c:v>
                </c:pt>
                <c:pt idx="3">
                  <c:v>9.8031372745234313E-6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F2-4DC2-98A0-C422BD47E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963384"/>
        <c:axId val="1"/>
      </c:scatterChart>
      <c:valAx>
        <c:axId val="876963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1572700296736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963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474777448071216"/>
          <c:y val="0.92024539877300615"/>
          <c:w val="0.89910979228486643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257175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34DB1A8-3EC2-8D83-EF4C-753468AB4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0</xdr:rowOff>
    </xdr:from>
    <xdr:to>
      <xdr:col>26</xdr:col>
      <xdr:colOff>666750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D48F2A0-0670-581D-A4F6-3F817424F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9525</xdr:rowOff>
    </xdr:from>
    <xdr:to>
      <xdr:col>16</xdr:col>
      <xdr:colOff>247650</xdr:colOff>
      <xdr:row>18</xdr:row>
      <xdr:rowOff>47625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50036AB-3AC2-980E-442E-B6EBBA3CE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konkoly.hu/cgi-bin/IBVS?5945" TargetMode="External"/><Relationship Id="rId4" Type="http://schemas.openxmlformats.org/officeDocument/2006/relationships/hyperlink" Target="http://www.konkoly.hu/cgi-bin/IBVS?587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s="51" customFormat="1" ht="12.95" customHeight="1" x14ac:dyDescent="0.2">
      <c r="A2" s="51" t="s">
        <v>24</v>
      </c>
      <c r="B2" s="51" t="s">
        <v>30</v>
      </c>
    </row>
    <row r="3" spans="1:6" s="51" customFormat="1" ht="12.95" customHeight="1" thickBot="1" x14ac:dyDescent="0.25"/>
    <row r="4" spans="1:6" s="51" customFormat="1" ht="12.95" customHeight="1" thickTop="1" thickBot="1" x14ac:dyDescent="0.25">
      <c r="A4" s="52" t="s">
        <v>0</v>
      </c>
      <c r="C4" s="53">
        <v>40152.366999999998</v>
      </c>
      <c r="D4" s="54">
        <v>1.1559330000000001</v>
      </c>
    </row>
    <row r="5" spans="1:6" s="51" customFormat="1" ht="12.95" customHeight="1" thickTop="1" x14ac:dyDescent="0.2">
      <c r="A5" s="55" t="s">
        <v>33</v>
      </c>
      <c r="C5" s="56">
        <v>-9.5</v>
      </c>
      <c r="D5" s="51" t="s">
        <v>34</v>
      </c>
    </row>
    <row r="6" spans="1:6" s="51" customFormat="1" ht="12.95" customHeight="1" x14ac:dyDescent="0.2">
      <c r="A6" s="52" t="s">
        <v>1</v>
      </c>
    </row>
    <row r="7" spans="1:6" s="51" customFormat="1" ht="12.95" customHeight="1" x14ac:dyDescent="0.2">
      <c r="A7" s="51" t="s">
        <v>2</v>
      </c>
      <c r="C7" s="51">
        <f>+C4</f>
        <v>40152.366999999998</v>
      </c>
    </row>
    <row r="8" spans="1:6" s="51" customFormat="1" ht="12.95" customHeight="1" x14ac:dyDescent="0.2">
      <c r="A8" s="51" t="s">
        <v>3</v>
      </c>
      <c r="C8" s="51">
        <f>+D4</f>
        <v>1.1559330000000001</v>
      </c>
    </row>
    <row r="9" spans="1:6" s="51" customFormat="1" ht="12.95" customHeight="1" x14ac:dyDescent="0.2">
      <c r="A9" s="57" t="s">
        <v>44</v>
      </c>
      <c r="B9" s="58">
        <v>21</v>
      </c>
      <c r="C9" s="59" t="str">
        <f>"F"&amp;B9</f>
        <v>F21</v>
      </c>
      <c r="D9" s="60" t="str">
        <f>"G"&amp;B9</f>
        <v>G21</v>
      </c>
    </row>
    <row r="10" spans="1:6" s="51" customFormat="1" ht="12.95" customHeight="1" thickBot="1" x14ac:dyDescent="0.25">
      <c r="C10" s="61" t="s">
        <v>20</v>
      </c>
      <c r="D10" s="61" t="s">
        <v>21</v>
      </c>
    </row>
    <row r="11" spans="1:6" s="51" customFormat="1" ht="12.95" customHeight="1" x14ac:dyDescent="0.2">
      <c r="A11" s="51" t="s">
        <v>16</v>
      </c>
      <c r="C11" s="60">
        <f ca="1">INTERCEPT(INDIRECT($D$9):G991,INDIRECT($C$9):F991)</f>
        <v>-5.2746977990822397E-4</v>
      </c>
      <c r="D11" s="62"/>
    </row>
    <row r="12" spans="1:6" s="51" customFormat="1" ht="12.95" customHeight="1" x14ac:dyDescent="0.2">
      <c r="A12" s="51" t="s">
        <v>17</v>
      </c>
      <c r="C12" s="60">
        <f ca="1">SLOPE(INDIRECT($D$9):G991,INDIRECT($C$9):F991)</f>
        <v>1.7536830315276925E-5</v>
      </c>
      <c r="D12" s="62"/>
    </row>
    <row r="13" spans="1:6" s="51" customFormat="1" ht="12.95" customHeight="1" x14ac:dyDescent="0.2">
      <c r="A13" s="51" t="s">
        <v>19</v>
      </c>
      <c r="C13" s="62" t="s">
        <v>14</v>
      </c>
    </row>
    <row r="14" spans="1:6" s="51" customFormat="1" ht="12.95" customHeight="1" x14ac:dyDescent="0.2"/>
    <row r="15" spans="1:6" s="51" customFormat="1" ht="12.95" customHeight="1" x14ac:dyDescent="0.2">
      <c r="A15" s="63" t="s">
        <v>18</v>
      </c>
      <c r="C15" s="64">
        <f ca="1">(C7+C11)+(C8+C12)*INT(MAX(F21:F3532))</f>
        <v>57029.24431025282</v>
      </c>
      <c r="E15" s="65" t="s">
        <v>48</v>
      </c>
      <c r="F15" s="56">
        <v>1</v>
      </c>
    </row>
    <row r="16" spans="1:6" s="51" customFormat="1" ht="12.95" customHeight="1" x14ac:dyDescent="0.2">
      <c r="A16" s="52" t="s">
        <v>4</v>
      </c>
      <c r="C16" s="66">
        <f ca="1">+C8+C12</f>
        <v>1.1559505368303153</v>
      </c>
      <c r="E16" s="65" t="s">
        <v>35</v>
      </c>
      <c r="F16" s="67">
        <f ca="1">NOW()+15018.5+$C$5/24</f>
        <v>60372.800445949069</v>
      </c>
    </row>
    <row r="17" spans="1:17" s="51" customFormat="1" ht="12.95" customHeight="1" thickBot="1" x14ac:dyDescent="0.25">
      <c r="A17" s="65" t="s">
        <v>32</v>
      </c>
      <c r="C17" s="51">
        <f>COUNT(C21:C2190)</f>
        <v>10</v>
      </c>
      <c r="E17" s="65" t="s">
        <v>49</v>
      </c>
      <c r="F17" s="67">
        <f ca="1">ROUND(2*(F16-$C$7)/$C$8,0)/2+F15</f>
        <v>17493.5</v>
      </c>
    </row>
    <row r="18" spans="1:17" s="51" customFormat="1" ht="12.95" customHeight="1" thickTop="1" thickBot="1" x14ac:dyDescent="0.25">
      <c r="A18" s="52" t="s">
        <v>5</v>
      </c>
      <c r="C18" s="53">
        <f ca="1">+C15</f>
        <v>57029.24431025282</v>
      </c>
      <c r="D18" s="54">
        <f ca="1">+C16</f>
        <v>1.1559505368303153</v>
      </c>
      <c r="E18" s="65" t="s">
        <v>36</v>
      </c>
      <c r="F18" s="60">
        <f ca="1">ROUND(2*(F16-$C$15)/$C$16,0)/2+F15</f>
        <v>2893.5</v>
      </c>
    </row>
    <row r="19" spans="1:17" s="51" customFormat="1" ht="12.95" customHeight="1" thickTop="1" x14ac:dyDescent="0.2">
      <c r="E19" s="65" t="s">
        <v>37</v>
      </c>
      <c r="F19" s="68">
        <f ca="1">+$C$15+$C$16*F18-15018.5-$C$5/24</f>
        <v>45355.883021904672</v>
      </c>
    </row>
    <row r="20" spans="1:17" s="51" customFormat="1" ht="12.95" customHeight="1" thickBot="1" x14ac:dyDescent="0.25">
      <c r="A20" s="61" t="s">
        <v>6</v>
      </c>
      <c r="B20" s="61" t="s">
        <v>7</v>
      </c>
      <c r="C20" s="61" t="s">
        <v>8</v>
      </c>
      <c r="D20" s="61" t="s">
        <v>13</v>
      </c>
      <c r="E20" s="61" t="s">
        <v>9</v>
      </c>
      <c r="F20" s="61" t="s">
        <v>10</v>
      </c>
      <c r="G20" s="61" t="s">
        <v>11</v>
      </c>
      <c r="H20" s="69" t="s">
        <v>60</v>
      </c>
      <c r="I20" s="69" t="s">
        <v>63</v>
      </c>
      <c r="J20" s="69" t="s">
        <v>57</v>
      </c>
      <c r="K20" s="69" t="s">
        <v>55</v>
      </c>
      <c r="L20" s="69" t="s">
        <v>26</v>
      </c>
      <c r="M20" s="69" t="s">
        <v>27</v>
      </c>
      <c r="N20" s="69" t="s">
        <v>28</v>
      </c>
      <c r="O20" s="69" t="s">
        <v>23</v>
      </c>
      <c r="P20" s="70" t="s">
        <v>22</v>
      </c>
      <c r="Q20" s="61" t="s">
        <v>15</v>
      </c>
    </row>
    <row r="21" spans="1:17" s="51" customFormat="1" ht="12.95" customHeight="1" x14ac:dyDescent="0.2">
      <c r="A21" s="51" t="s">
        <v>12</v>
      </c>
      <c r="C21" s="71">
        <f>+C4</f>
        <v>40152.366999999998</v>
      </c>
      <c r="D21" s="71" t="s">
        <v>14</v>
      </c>
      <c r="E21" s="51">
        <f t="shared" ref="E21:E29" si="0">+(C21-C$7)/C$8</f>
        <v>0</v>
      </c>
      <c r="F21" s="51">
        <f t="shared" ref="F21:F29" si="1">ROUND(2*E21,0)/2</f>
        <v>0</v>
      </c>
      <c r="G21" s="51">
        <f t="shared" ref="G21:G29" si="2">+C21-(C$7+F21*C$8)</f>
        <v>0</v>
      </c>
      <c r="H21" s="51">
        <f>+G21</f>
        <v>0</v>
      </c>
      <c r="O21" s="51">
        <f t="shared" ref="O21:O29" ca="1" si="3">+C$11+C$12*$F21</f>
        <v>-5.2746977990822397E-4</v>
      </c>
      <c r="Q21" s="72">
        <f t="shared" ref="Q21:Q29" si="4">+C21-15018.5</f>
        <v>25133.866999999998</v>
      </c>
    </row>
    <row r="22" spans="1:17" s="51" customFormat="1" ht="12.95" customHeight="1" x14ac:dyDescent="0.2">
      <c r="A22" s="10" t="s">
        <v>31</v>
      </c>
      <c r="B22" s="9"/>
      <c r="C22" s="73">
        <v>52279.443299999999</v>
      </c>
      <c r="D22" s="73">
        <v>8.0000000000000004E-4</v>
      </c>
      <c r="E22" s="51">
        <f t="shared" si="0"/>
        <v>10491.158484098991</v>
      </c>
      <c r="F22" s="51">
        <f t="shared" si="1"/>
        <v>10491</v>
      </c>
      <c r="G22" s="51">
        <f t="shared" si="2"/>
        <v>0.18319699999847217</v>
      </c>
      <c r="J22" s="51">
        <f>+G22</f>
        <v>0.18319699999847217</v>
      </c>
      <c r="O22" s="51">
        <f t="shared" ca="1" si="3"/>
        <v>0.18345141705766199</v>
      </c>
      <c r="Q22" s="72">
        <f t="shared" si="4"/>
        <v>37260.943299999999</v>
      </c>
    </row>
    <row r="23" spans="1:17" s="51" customFormat="1" ht="12.95" customHeight="1" x14ac:dyDescent="0.2">
      <c r="A23" s="74" t="s">
        <v>77</v>
      </c>
      <c r="B23" s="75" t="s">
        <v>40</v>
      </c>
      <c r="C23" s="76">
        <v>52323.37</v>
      </c>
      <c r="D23" s="71"/>
      <c r="E23" s="51">
        <f t="shared" si="0"/>
        <v>10529.159562016141</v>
      </c>
      <c r="F23" s="51">
        <f t="shared" si="1"/>
        <v>10529</v>
      </c>
      <c r="G23" s="51">
        <f t="shared" si="2"/>
        <v>0.18444300000555813</v>
      </c>
      <c r="I23" s="51">
        <f>+G23</f>
        <v>0.18444300000555813</v>
      </c>
      <c r="O23" s="51">
        <f t="shared" ca="1" si="3"/>
        <v>0.18411781660964252</v>
      </c>
      <c r="Q23" s="72">
        <f t="shared" si="4"/>
        <v>37304.870000000003</v>
      </c>
    </row>
    <row r="24" spans="1:17" s="51" customFormat="1" ht="12.95" customHeight="1" x14ac:dyDescent="0.2">
      <c r="A24" s="10" t="s">
        <v>39</v>
      </c>
      <c r="B24" s="77" t="s">
        <v>40</v>
      </c>
      <c r="C24" s="10">
        <v>54084.459900000002</v>
      </c>
      <c r="D24" s="10">
        <v>6.9999999999999999E-4</v>
      </c>
      <c r="E24" s="51">
        <f t="shared" si="0"/>
        <v>12052.682032609158</v>
      </c>
      <c r="F24" s="51">
        <f t="shared" si="1"/>
        <v>12052.5</v>
      </c>
      <c r="G24" s="51">
        <f t="shared" si="2"/>
        <v>0.21041749999858439</v>
      </c>
      <c r="J24" s="51">
        <f>+G24</f>
        <v>0.21041749999858439</v>
      </c>
      <c r="O24" s="51">
        <f t="shared" ca="1" si="3"/>
        <v>0.21083517759496692</v>
      </c>
      <c r="Q24" s="72">
        <f t="shared" si="4"/>
        <v>39065.959900000002</v>
      </c>
    </row>
    <row r="25" spans="1:17" s="51" customFormat="1" ht="12.95" customHeight="1" x14ac:dyDescent="0.2">
      <c r="A25" s="78" t="s">
        <v>46</v>
      </c>
      <c r="B25" s="30" t="s">
        <v>40</v>
      </c>
      <c r="C25" s="10">
        <v>54513.316420000003</v>
      </c>
      <c r="D25" s="10">
        <v>2.0000000000000001E-4</v>
      </c>
      <c r="E25" s="51">
        <f t="shared" si="0"/>
        <v>12423.686684262844</v>
      </c>
      <c r="F25" s="51">
        <f t="shared" si="1"/>
        <v>12423.5</v>
      </c>
      <c r="G25" s="51">
        <f t="shared" si="2"/>
        <v>0.2157945000071777</v>
      </c>
      <c r="K25" s="51">
        <f>+G25</f>
        <v>0.2157945000071777</v>
      </c>
      <c r="O25" s="51">
        <f t="shared" ca="1" si="3"/>
        <v>0.21734134164193467</v>
      </c>
      <c r="Q25" s="72">
        <f t="shared" si="4"/>
        <v>39494.816420000003</v>
      </c>
    </row>
    <row r="26" spans="1:17" s="51" customFormat="1" ht="12.95" customHeight="1" x14ac:dyDescent="0.2">
      <c r="A26" s="79" t="s">
        <v>45</v>
      </c>
      <c r="B26" s="78"/>
      <c r="C26" s="10">
        <v>54724.854899999998</v>
      </c>
      <c r="D26" s="10">
        <v>5.0000000000000001E-4</v>
      </c>
      <c r="E26" s="51">
        <f t="shared" si="0"/>
        <v>12606.689055507541</v>
      </c>
      <c r="F26" s="51">
        <f t="shared" si="1"/>
        <v>12606.5</v>
      </c>
      <c r="G26" s="51">
        <f t="shared" si="2"/>
        <v>0.21853549999650568</v>
      </c>
      <c r="K26" s="51">
        <f>+G26</f>
        <v>0.21853549999650568</v>
      </c>
      <c r="O26" s="51">
        <f t="shared" ca="1" si="3"/>
        <v>0.22055058158963034</v>
      </c>
      <c r="Q26" s="72">
        <f t="shared" si="4"/>
        <v>39706.354899999998</v>
      </c>
    </row>
    <row r="27" spans="1:17" s="51" customFormat="1" ht="12.95" customHeight="1" x14ac:dyDescent="0.2">
      <c r="A27" s="10" t="s">
        <v>47</v>
      </c>
      <c r="B27" s="30" t="s">
        <v>40</v>
      </c>
      <c r="C27" s="10">
        <v>55205.732000000004</v>
      </c>
      <c r="D27" s="10">
        <v>2.0000000000000001E-4</v>
      </c>
      <c r="E27" s="51">
        <f t="shared" si="0"/>
        <v>13022.696817203077</v>
      </c>
      <c r="F27" s="51">
        <f t="shared" si="1"/>
        <v>13022.5</v>
      </c>
      <c r="G27" s="51">
        <f t="shared" si="2"/>
        <v>0.22750750000705011</v>
      </c>
      <c r="K27" s="51">
        <f>+G27</f>
        <v>0.22750750000705011</v>
      </c>
      <c r="O27" s="51">
        <f t="shared" ca="1" si="3"/>
        <v>0.22784590300078553</v>
      </c>
      <c r="Q27" s="72">
        <f t="shared" si="4"/>
        <v>40187.232000000004</v>
      </c>
    </row>
    <row r="28" spans="1:17" x14ac:dyDescent="0.2">
      <c r="A28" s="10" t="s">
        <v>50</v>
      </c>
      <c r="B28" s="30" t="s">
        <v>40</v>
      </c>
      <c r="C28" s="10">
        <v>55866.936500000003</v>
      </c>
      <c r="D28" s="10">
        <v>4.0000000000000002E-4</v>
      </c>
      <c r="E28">
        <f t="shared" si="0"/>
        <v>13594.706181067591</v>
      </c>
      <c r="F28">
        <f t="shared" si="1"/>
        <v>13594.5</v>
      </c>
      <c r="G28">
        <f t="shared" si="2"/>
        <v>0.2383315000042785</v>
      </c>
      <c r="K28">
        <f>+G28</f>
        <v>0.2383315000042785</v>
      </c>
      <c r="O28">
        <f t="shared" ca="1" si="3"/>
        <v>0.23787696994112392</v>
      </c>
      <c r="Q28" s="2">
        <f t="shared" si="4"/>
        <v>40848.436500000003</v>
      </c>
    </row>
    <row r="29" spans="1:17" x14ac:dyDescent="0.2">
      <c r="A29" s="44" t="s">
        <v>51</v>
      </c>
      <c r="B29" s="45" t="s">
        <v>40</v>
      </c>
      <c r="C29" s="46">
        <v>56629.286999999997</v>
      </c>
      <c r="D29" s="47">
        <v>5.0000000000000001E-4</v>
      </c>
      <c r="E29">
        <f t="shared" si="0"/>
        <v>14254.217156184655</v>
      </c>
      <c r="F29">
        <f t="shared" si="1"/>
        <v>14254</v>
      </c>
      <c r="G29">
        <f t="shared" si="2"/>
        <v>0.25101799999538343</v>
      </c>
      <c r="J29">
        <f>+G29</f>
        <v>0.25101799999538343</v>
      </c>
      <c r="O29">
        <f t="shared" ca="1" si="3"/>
        <v>0.24944250953404906</v>
      </c>
      <c r="Q29" s="2">
        <f t="shared" si="4"/>
        <v>41610.786999999997</v>
      </c>
    </row>
    <row r="30" spans="1:17" x14ac:dyDescent="0.2">
      <c r="A30" s="48" t="s">
        <v>115</v>
      </c>
      <c r="B30" s="49" t="s">
        <v>40</v>
      </c>
      <c r="C30" s="50">
        <v>57029.245999999999</v>
      </c>
      <c r="D30" s="50">
        <v>6.9999999999999999E-4</v>
      </c>
      <c r="E30">
        <f>+(C30-C$7)/C$8</f>
        <v>14600.222504245488</v>
      </c>
      <c r="F30">
        <f>ROUND(2*E30,0)/2</f>
        <v>14600</v>
      </c>
      <c r="G30">
        <f>+C30-(C$7+F30*C$8)</f>
        <v>0.25720000000001164</v>
      </c>
      <c r="J30">
        <f>+G30</f>
        <v>0.25720000000001164</v>
      </c>
      <c r="O30">
        <f ca="1">+C$11+C$12*$F30</f>
        <v>0.25551025282313489</v>
      </c>
      <c r="Q30" s="2">
        <f>+C30-15018.5</f>
        <v>42010.745999999999</v>
      </c>
    </row>
    <row r="31" spans="1:17" x14ac:dyDescent="0.2">
      <c r="C31" s="11"/>
      <c r="D31" s="11"/>
      <c r="Q31" s="2"/>
    </row>
    <row r="32" spans="1:17" x14ac:dyDescent="0.2">
      <c r="C32" s="11"/>
      <c r="D32" s="11"/>
      <c r="Q32" s="2"/>
    </row>
    <row r="33" spans="3:4" x14ac:dyDescent="0.2">
      <c r="C33" s="11"/>
      <c r="D33" s="11"/>
    </row>
    <row r="34" spans="3:4" x14ac:dyDescent="0.2">
      <c r="C34" s="11"/>
      <c r="D34" s="11"/>
    </row>
    <row r="35" spans="3:4" x14ac:dyDescent="0.2">
      <c r="C35" s="11"/>
      <c r="D35" s="11"/>
    </row>
    <row r="36" spans="3:4" x14ac:dyDescent="0.2">
      <c r="C36" s="11"/>
      <c r="D36" s="11"/>
    </row>
    <row r="37" spans="3:4" x14ac:dyDescent="0.2">
      <c r="C37" s="11"/>
      <c r="D37" s="11"/>
    </row>
    <row r="38" spans="3:4" x14ac:dyDescent="0.2">
      <c r="C38" s="11"/>
      <c r="D38" s="11"/>
    </row>
    <row r="39" spans="3:4" x14ac:dyDescent="0.2">
      <c r="C39" s="11"/>
      <c r="D39" s="11"/>
    </row>
    <row r="40" spans="3:4" x14ac:dyDescent="0.2">
      <c r="C40" s="11"/>
      <c r="D40" s="11"/>
    </row>
    <row r="41" spans="3:4" x14ac:dyDescent="0.2">
      <c r="C41" s="11"/>
      <c r="D41" s="11"/>
    </row>
    <row r="42" spans="3:4" x14ac:dyDescent="0.2">
      <c r="C42" s="11"/>
      <c r="D42" s="11"/>
    </row>
    <row r="43" spans="3:4" x14ac:dyDescent="0.2">
      <c r="C43" s="11"/>
      <c r="D43" s="11"/>
    </row>
    <row r="44" spans="3:4" x14ac:dyDescent="0.2">
      <c r="C44" s="11"/>
      <c r="D44" s="11"/>
    </row>
    <row r="45" spans="3:4" x14ac:dyDescent="0.2">
      <c r="C45" s="11"/>
      <c r="D45" s="11"/>
    </row>
    <row r="46" spans="3:4" x14ac:dyDescent="0.2">
      <c r="C46" s="11"/>
      <c r="D46" s="11"/>
    </row>
    <row r="47" spans="3:4" x14ac:dyDescent="0.2">
      <c r="C47" s="11"/>
      <c r="D47" s="11"/>
    </row>
    <row r="48" spans="3:4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workbookViewId="0">
      <selection activeCell="A17" sqref="A17:C18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1" t="s">
        <v>53</v>
      </c>
      <c r="I1" s="32" t="s">
        <v>54</v>
      </c>
      <c r="J1" s="33" t="s">
        <v>55</v>
      </c>
    </row>
    <row r="2" spans="1:16" x14ac:dyDescent="0.2">
      <c r="I2" s="34" t="s">
        <v>56</v>
      </c>
      <c r="J2" s="35" t="s">
        <v>57</v>
      </c>
    </row>
    <row r="3" spans="1:16" x14ac:dyDescent="0.2">
      <c r="A3" s="36" t="s">
        <v>58</v>
      </c>
      <c r="I3" s="34" t="s">
        <v>59</v>
      </c>
      <c r="J3" s="35" t="s">
        <v>60</v>
      </c>
    </row>
    <row r="4" spans="1:16" x14ac:dyDescent="0.2">
      <c r="I4" s="34" t="s">
        <v>61</v>
      </c>
      <c r="J4" s="35" t="s">
        <v>60</v>
      </c>
    </row>
    <row r="5" spans="1:16" ht="13.5" thickBot="1" x14ac:dyDescent="0.25">
      <c r="I5" s="37" t="s">
        <v>62</v>
      </c>
      <c r="J5" s="38" t="s">
        <v>63</v>
      </c>
    </row>
    <row r="10" spans="1:16" ht="13.5" thickBot="1" x14ac:dyDescent="0.25"/>
    <row r="11" spans="1:16" ht="12.75" customHeight="1" thickBot="1" x14ac:dyDescent="0.25">
      <c r="A11" s="11" t="str">
        <f t="shared" ref="A11:A18" si="0">P11</f>
        <v>BAVM 158 </v>
      </c>
      <c r="B11" s="16" t="str">
        <f t="shared" ref="B11:B18" si="1">IF(H11=INT(H11),"I","II")</f>
        <v>I</v>
      </c>
      <c r="C11" s="11">
        <f t="shared" ref="C11:C18" si="2">1*G11</f>
        <v>52279.443299999999</v>
      </c>
      <c r="D11" s="14" t="str">
        <f t="shared" ref="D11:D18" si="3">VLOOKUP(F11,I$1:J$5,2,FALSE)</f>
        <v>vis</v>
      </c>
      <c r="E11" s="39">
        <f>VLOOKUP(C11,Active!C$21:E$972,3,FALSE)</f>
        <v>10491.158484098991</v>
      </c>
      <c r="F11" s="16" t="s">
        <v>62</v>
      </c>
      <c r="G11" s="14" t="str">
        <f t="shared" ref="G11:G18" si="4">MID(I11,3,LEN(I11)-3)</f>
        <v>52279.4433</v>
      </c>
      <c r="H11" s="11">
        <f t="shared" ref="H11:H18" si="5">1*K11</f>
        <v>10491</v>
      </c>
      <c r="I11" s="40" t="s">
        <v>64</v>
      </c>
      <c r="J11" s="41" t="s">
        <v>65</v>
      </c>
      <c r="K11" s="40">
        <v>10491</v>
      </c>
      <c r="L11" s="40" t="s">
        <v>66</v>
      </c>
      <c r="M11" s="41" t="s">
        <v>67</v>
      </c>
      <c r="N11" s="41" t="s">
        <v>68</v>
      </c>
      <c r="O11" s="42" t="s">
        <v>69</v>
      </c>
      <c r="P11" s="43" t="s">
        <v>70</v>
      </c>
    </row>
    <row r="12" spans="1:16" ht="12.75" customHeight="1" thickBot="1" x14ac:dyDescent="0.25">
      <c r="A12" s="11" t="str">
        <f t="shared" si="0"/>
        <v>BAVM 183 </v>
      </c>
      <c r="B12" s="16" t="str">
        <f t="shared" si="1"/>
        <v>II</v>
      </c>
      <c r="C12" s="11">
        <f t="shared" si="2"/>
        <v>54084.459900000002</v>
      </c>
      <c r="D12" s="14" t="str">
        <f t="shared" si="3"/>
        <v>vis</v>
      </c>
      <c r="E12" s="39">
        <f>VLOOKUP(C12,Active!C$21:E$972,3,FALSE)</f>
        <v>12052.682032609158</v>
      </c>
      <c r="F12" s="16" t="s">
        <v>62</v>
      </c>
      <c r="G12" s="14" t="str">
        <f t="shared" si="4"/>
        <v>54084.4599</v>
      </c>
      <c r="H12" s="11">
        <f t="shared" si="5"/>
        <v>12052.5</v>
      </c>
      <c r="I12" s="40" t="s">
        <v>78</v>
      </c>
      <c r="J12" s="41" t="s">
        <v>79</v>
      </c>
      <c r="K12" s="40" t="s">
        <v>80</v>
      </c>
      <c r="L12" s="40" t="s">
        <v>81</v>
      </c>
      <c r="M12" s="41" t="s">
        <v>82</v>
      </c>
      <c r="N12" s="41" t="s">
        <v>68</v>
      </c>
      <c r="O12" s="42" t="s">
        <v>83</v>
      </c>
      <c r="P12" s="43" t="s">
        <v>84</v>
      </c>
    </row>
    <row r="13" spans="1:16" ht="12.75" customHeight="1" thickBot="1" x14ac:dyDescent="0.25">
      <c r="A13" s="11" t="str">
        <f t="shared" si="0"/>
        <v>IBVS 5875 </v>
      </c>
      <c r="B13" s="16" t="str">
        <f t="shared" si="1"/>
        <v>II</v>
      </c>
      <c r="C13" s="11">
        <f t="shared" si="2"/>
        <v>54724.854899999998</v>
      </c>
      <c r="D13" s="14" t="str">
        <f t="shared" si="3"/>
        <v>vis</v>
      </c>
      <c r="E13" s="39">
        <f>VLOOKUP(C13,Active!C$21:E$972,3,FALSE)</f>
        <v>12606.689055507541</v>
      </c>
      <c r="F13" s="16" t="s">
        <v>62</v>
      </c>
      <c r="G13" s="14" t="str">
        <f t="shared" si="4"/>
        <v>54724.8549</v>
      </c>
      <c r="H13" s="11">
        <f t="shared" si="5"/>
        <v>12606.5</v>
      </c>
      <c r="I13" s="40" t="s">
        <v>92</v>
      </c>
      <c r="J13" s="41" t="s">
        <v>93</v>
      </c>
      <c r="K13" s="40" t="s">
        <v>94</v>
      </c>
      <c r="L13" s="40" t="s">
        <v>95</v>
      </c>
      <c r="M13" s="41" t="s">
        <v>82</v>
      </c>
      <c r="N13" s="41" t="s">
        <v>54</v>
      </c>
      <c r="O13" s="42" t="s">
        <v>96</v>
      </c>
      <c r="P13" s="43" t="s">
        <v>97</v>
      </c>
    </row>
    <row r="14" spans="1:16" ht="12.75" customHeight="1" thickBot="1" x14ac:dyDescent="0.25">
      <c r="A14" s="11" t="str">
        <f t="shared" si="0"/>
        <v>IBVS 5945 </v>
      </c>
      <c r="B14" s="16" t="str">
        <f t="shared" si="1"/>
        <v>II</v>
      </c>
      <c r="C14" s="11">
        <f t="shared" si="2"/>
        <v>55205.732000000004</v>
      </c>
      <c r="D14" s="14" t="str">
        <f t="shared" si="3"/>
        <v>vis</v>
      </c>
      <c r="E14" s="39">
        <f>VLOOKUP(C14,Active!C$21:E$972,3,FALSE)</f>
        <v>13022.696817203077</v>
      </c>
      <c r="F14" s="16" t="s">
        <v>62</v>
      </c>
      <c r="G14" s="14" t="str">
        <f t="shared" si="4"/>
        <v>55205.7320</v>
      </c>
      <c r="H14" s="11">
        <f t="shared" si="5"/>
        <v>13022.5</v>
      </c>
      <c r="I14" s="40" t="s">
        <v>98</v>
      </c>
      <c r="J14" s="41" t="s">
        <v>99</v>
      </c>
      <c r="K14" s="40" t="s">
        <v>100</v>
      </c>
      <c r="L14" s="40" t="s">
        <v>101</v>
      </c>
      <c r="M14" s="41" t="s">
        <v>82</v>
      </c>
      <c r="N14" s="41" t="s">
        <v>62</v>
      </c>
      <c r="O14" s="42" t="s">
        <v>76</v>
      </c>
      <c r="P14" s="43" t="s">
        <v>102</v>
      </c>
    </row>
    <row r="15" spans="1:16" ht="12.75" customHeight="1" thickBot="1" x14ac:dyDescent="0.25">
      <c r="A15" s="11" t="str">
        <f t="shared" si="0"/>
        <v>IBVS 6011 </v>
      </c>
      <c r="B15" s="16" t="str">
        <f t="shared" si="1"/>
        <v>II</v>
      </c>
      <c r="C15" s="11">
        <f t="shared" si="2"/>
        <v>55866.936500000003</v>
      </c>
      <c r="D15" s="14" t="str">
        <f t="shared" si="3"/>
        <v>vis</v>
      </c>
      <c r="E15" s="39">
        <f>VLOOKUP(C15,Active!C$21:E$972,3,FALSE)</f>
        <v>13594.706181067591</v>
      </c>
      <c r="F15" s="16" t="s">
        <v>62</v>
      </c>
      <c r="G15" s="14" t="str">
        <f t="shared" si="4"/>
        <v>55866.9365</v>
      </c>
      <c r="H15" s="11">
        <f t="shared" si="5"/>
        <v>13594.5</v>
      </c>
      <c r="I15" s="40" t="s">
        <v>103</v>
      </c>
      <c r="J15" s="41" t="s">
        <v>104</v>
      </c>
      <c r="K15" s="40" t="s">
        <v>105</v>
      </c>
      <c r="L15" s="40" t="s">
        <v>106</v>
      </c>
      <c r="M15" s="41" t="s">
        <v>82</v>
      </c>
      <c r="N15" s="41" t="s">
        <v>62</v>
      </c>
      <c r="O15" s="42" t="s">
        <v>76</v>
      </c>
      <c r="P15" s="43" t="s">
        <v>107</v>
      </c>
    </row>
    <row r="16" spans="1:16" ht="12.75" customHeight="1" thickBot="1" x14ac:dyDescent="0.25">
      <c r="A16" s="11" t="str">
        <f t="shared" si="0"/>
        <v>BAVM 234 </v>
      </c>
      <c r="B16" s="16" t="str">
        <f t="shared" si="1"/>
        <v>I</v>
      </c>
      <c r="C16" s="11">
        <f t="shared" si="2"/>
        <v>56629.286999999997</v>
      </c>
      <c r="D16" s="14" t="str">
        <f t="shared" si="3"/>
        <v>vis</v>
      </c>
      <c r="E16" s="39">
        <f>VLOOKUP(C16,Active!C$21:E$972,3,FALSE)</f>
        <v>14254.217156184655</v>
      </c>
      <c r="F16" s="16" t="s">
        <v>62</v>
      </c>
      <c r="G16" s="14" t="str">
        <f t="shared" si="4"/>
        <v>56629.287</v>
      </c>
      <c r="H16" s="11">
        <f t="shared" si="5"/>
        <v>14254</v>
      </c>
      <c r="I16" s="40" t="s">
        <v>108</v>
      </c>
      <c r="J16" s="41" t="s">
        <v>109</v>
      </c>
      <c r="K16" s="40" t="s">
        <v>110</v>
      </c>
      <c r="L16" s="40" t="s">
        <v>111</v>
      </c>
      <c r="M16" s="41" t="s">
        <v>82</v>
      </c>
      <c r="N16" s="41" t="s">
        <v>112</v>
      </c>
      <c r="O16" s="42" t="s">
        <v>113</v>
      </c>
      <c r="P16" s="43" t="s">
        <v>114</v>
      </c>
    </row>
    <row r="17" spans="1:16" ht="12.75" customHeight="1" thickBot="1" x14ac:dyDescent="0.25">
      <c r="A17" s="11" t="str">
        <f t="shared" si="0"/>
        <v> BBS 127 </v>
      </c>
      <c r="B17" s="16" t="str">
        <f t="shared" si="1"/>
        <v>I</v>
      </c>
      <c r="C17" s="11">
        <f t="shared" si="2"/>
        <v>52323.37</v>
      </c>
      <c r="D17" s="14" t="str">
        <f t="shared" si="3"/>
        <v>vis</v>
      </c>
      <c r="E17" s="39">
        <f>VLOOKUP(C17,Active!C$21:E$972,3,FALSE)</f>
        <v>10529.159562016141</v>
      </c>
      <c r="F17" s="16" t="s">
        <v>62</v>
      </c>
      <c r="G17" s="14" t="str">
        <f t="shared" si="4"/>
        <v>52323.370</v>
      </c>
      <c r="H17" s="11">
        <f t="shared" si="5"/>
        <v>10529</v>
      </c>
      <c r="I17" s="40" t="s">
        <v>71</v>
      </c>
      <c r="J17" s="41" t="s">
        <v>72</v>
      </c>
      <c r="K17" s="40" t="s">
        <v>73</v>
      </c>
      <c r="L17" s="40" t="s">
        <v>74</v>
      </c>
      <c r="M17" s="41" t="s">
        <v>67</v>
      </c>
      <c r="N17" s="41" t="s">
        <v>75</v>
      </c>
      <c r="O17" s="42" t="s">
        <v>76</v>
      </c>
      <c r="P17" s="42" t="s">
        <v>77</v>
      </c>
    </row>
    <row r="18" spans="1:16" ht="12.75" customHeight="1" thickBot="1" x14ac:dyDescent="0.25">
      <c r="A18" s="11" t="str">
        <f t="shared" si="0"/>
        <v>OEJV 0107 </v>
      </c>
      <c r="B18" s="16" t="str">
        <f t="shared" si="1"/>
        <v>II</v>
      </c>
      <c r="C18" s="11">
        <f t="shared" si="2"/>
        <v>54513.316400000003</v>
      </c>
      <c r="D18" s="14" t="str">
        <f t="shared" si="3"/>
        <v>vis</v>
      </c>
      <c r="E18" s="39" t="e">
        <f>VLOOKUP(C18,Active!C$21:E$972,3,FALSE)</f>
        <v>#N/A</v>
      </c>
      <c r="F18" s="16" t="s">
        <v>62</v>
      </c>
      <c r="G18" s="14" t="str">
        <f t="shared" si="4"/>
        <v>54513.3164</v>
      </c>
      <c r="H18" s="11">
        <f t="shared" si="5"/>
        <v>12423.5</v>
      </c>
      <c r="I18" s="40" t="s">
        <v>85</v>
      </c>
      <c r="J18" s="41" t="s">
        <v>86</v>
      </c>
      <c r="K18" s="40" t="s">
        <v>87</v>
      </c>
      <c r="L18" s="40" t="s">
        <v>88</v>
      </c>
      <c r="M18" s="41" t="s">
        <v>82</v>
      </c>
      <c r="N18" s="41" t="s">
        <v>89</v>
      </c>
      <c r="O18" s="42" t="s">
        <v>90</v>
      </c>
      <c r="P18" s="43" t="s">
        <v>91</v>
      </c>
    </row>
    <row r="19" spans="1:16" x14ac:dyDescent="0.2">
      <c r="B19" s="16"/>
      <c r="F19" s="16"/>
    </row>
    <row r="20" spans="1:16" x14ac:dyDescent="0.2">
      <c r="B20" s="16"/>
      <c r="F20" s="16"/>
    </row>
    <row r="21" spans="1:16" x14ac:dyDescent="0.2">
      <c r="B21" s="16"/>
      <c r="F21" s="16"/>
    </row>
    <row r="22" spans="1:16" x14ac:dyDescent="0.2">
      <c r="B22" s="16"/>
      <c r="F22" s="16"/>
    </row>
    <row r="23" spans="1:16" x14ac:dyDescent="0.2">
      <c r="B23" s="16"/>
      <c r="F23" s="16"/>
    </row>
    <row r="24" spans="1:16" x14ac:dyDescent="0.2">
      <c r="B24" s="16"/>
      <c r="F24" s="16"/>
    </row>
    <row r="25" spans="1:16" x14ac:dyDescent="0.2">
      <c r="B25" s="16"/>
      <c r="F25" s="16"/>
    </row>
    <row r="26" spans="1:16" x14ac:dyDescent="0.2">
      <c r="B26" s="16"/>
      <c r="F26" s="16"/>
    </row>
    <row r="27" spans="1:16" x14ac:dyDescent="0.2">
      <c r="B27" s="16"/>
      <c r="F27" s="16"/>
    </row>
    <row r="28" spans="1:16" x14ac:dyDescent="0.2">
      <c r="B28" s="16"/>
      <c r="F28" s="16"/>
    </row>
    <row r="29" spans="1:16" x14ac:dyDescent="0.2">
      <c r="B29" s="16"/>
      <c r="F29" s="16"/>
    </row>
    <row r="30" spans="1:16" x14ac:dyDescent="0.2">
      <c r="B30" s="16"/>
      <c r="F30" s="16"/>
    </row>
    <row r="31" spans="1:16" x14ac:dyDescent="0.2">
      <c r="B31" s="16"/>
      <c r="F31" s="16"/>
    </row>
    <row r="32" spans="1:16" x14ac:dyDescent="0.2">
      <c r="B32" s="16"/>
      <c r="F32" s="16"/>
    </row>
    <row r="33" spans="2:6" x14ac:dyDescent="0.2">
      <c r="B33" s="16"/>
      <c r="F33" s="16"/>
    </row>
    <row r="34" spans="2:6" x14ac:dyDescent="0.2">
      <c r="B34" s="16"/>
      <c r="F34" s="16"/>
    </row>
    <row r="35" spans="2:6" x14ac:dyDescent="0.2">
      <c r="B35" s="16"/>
      <c r="F35" s="16"/>
    </row>
    <row r="36" spans="2:6" x14ac:dyDescent="0.2">
      <c r="B36" s="16"/>
      <c r="F36" s="16"/>
    </row>
    <row r="37" spans="2:6" x14ac:dyDescent="0.2">
      <c r="B37" s="16"/>
      <c r="F37" s="16"/>
    </row>
    <row r="38" spans="2:6" x14ac:dyDescent="0.2">
      <c r="B38" s="16"/>
      <c r="F38" s="16"/>
    </row>
    <row r="39" spans="2:6" x14ac:dyDescent="0.2">
      <c r="B39" s="16"/>
      <c r="F39" s="16"/>
    </row>
    <row r="40" spans="2:6" x14ac:dyDescent="0.2">
      <c r="B40" s="16"/>
      <c r="F40" s="16"/>
    </row>
    <row r="41" spans="2:6" x14ac:dyDescent="0.2">
      <c r="B41" s="16"/>
      <c r="F41" s="16"/>
    </row>
    <row r="42" spans="2:6" x14ac:dyDescent="0.2">
      <c r="B42" s="16"/>
      <c r="F42" s="16"/>
    </row>
    <row r="43" spans="2:6" x14ac:dyDescent="0.2">
      <c r="B43" s="16"/>
      <c r="F43" s="16"/>
    </row>
    <row r="44" spans="2:6" x14ac:dyDescent="0.2">
      <c r="B44" s="16"/>
      <c r="F44" s="16"/>
    </row>
    <row r="45" spans="2:6" x14ac:dyDescent="0.2">
      <c r="B45" s="16"/>
      <c r="F45" s="16"/>
    </row>
    <row r="46" spans="2:6" x14ac:dyDescent="0.2">
      <c r="B46" s="16"/>
      <c r="F46" s="16"/>
    </row>
    <row r="47" spans="2:6" x14ac:dyDescent="0.2">
      <c r="B47" s="16"/>
      <c r="F47" s="16"/>
    </row>
    <row r="48" spans="2:6" x14ac:dyDescent="0.2">
      <c r="B48" s="16"/>
      <c r="F48" s="16"/>
    </row>
    <row r="49" spans="2:6" x14ac:dyDescent="0.2">
      <c r="B49" s="16"/>
      <c r="F49" s="16"/>
    </row>
    <row r="50" spans="2:6" x14ac:dyDescent="0.2">
      <c r="B50" s="16"/>
      <c r="F50" s="16"/>
    </row>
    <row r="51" spans="2:6" x14ac:dyDescent="0.2">
      <c r="B51" s="16"/>
      <c r="F51" s="16"/>
    </row>
    <row r="52" spans="2:6" x14ac:dyDescent="0.2">
      <c r="B52" s="16"/>
      <c r="F52" s="16"/>
    </row>
    <row r="53" spans="2:6" x14ac:dyDescent="0.2">
      <c r="B53" s="16"/>
      <c r="F53" s="16"/>
    </row>
    <row r="54" spans="2:6" x14ac:dyDescent="0.2">
      <c r="B54" s="16"/>
      <c r="F54" s="16"/>
    </row>
    <row r="55" spans="2:6" x14ac:dyDescent="0.2">
      <c r="B55" s="16"/>
      <c r="F55" s="16"/>
    </row>
    <row r="56" spans="2:6" x14ac:dyDescent="0.2">
      <c r="B56" s="16"/>
      <c r="F56" s="16"/>
    </row>
    <row r="57" spans="2:6" x14ac:dyDescent="0.2">
      <c r="B57" s="16"/>
      <c r="F57" s="16"/>
    </row>
    <row r="58" spans="2:6" x14ac:dyDescent="0.2">
      <c r="B58" s="16"/>
      <c r="F58" s="16"/>
    </row>
    <row r="59" spans="2:6" x14ac:dyDescent="0.2">
      <c r="B59" s="16"/>
      <c r="F59" s="16"/>
    </row>
    <row r="60" spans="2:6" x14ac:dyDescent="0.2">
      <c r="B60" s="16"/>
      <c r="F60" s="16"/>
    </row>
    <row r="61" spans="2:6" x14ac:dyDescent="0.2">
      <c r="B61" s="16"/>
      <c r="F61" s="16"/>
    </row>
    <row r="62" spans="2:6" x14ac:dyDescent="0.2">
      <c r="B62" s="16"/>
      <c r="F62" s="16"/>
    </row>
    <row r="63" spans="2:6" x14ac:dyDescent="0.2">
      <c r="B63" s="16"/>
      <c r="F63" s="16"/>
    </row>
    <row r="64" spans="2: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</sheetData>
  <phoneticPr fontId="7" type="noConversion"/>
  <hyperlinks>
    <hyperlink ref="P11" r:id="rId1" display="http://www.bav-astro.de/sfs/BAVM_link.php?BAVMnr=158"/>
    <hyperlink ref="P12" r:id="rId2" display="http://www.bav-astro.de/sfs/BAVM_link.php?BAVMnr=183"/>
    <hyperlink ref="P18" r:id="rId3" display="http://var.astro.cz/oejv/issues/oejv0107.pdf"/>
    <hyperlink ref="P13" r:id="rId4" display="http://www.konkoly.hu/cgi-bin/IBVS?5875"/>
    <hyperlink ref="P14" r:id="rId5" display="http://www.konkoly.hu/cgi-bin/IBVS?5945"/>
    <hyperlink ref="P15" r:id="rId6" display="http://www.konkoly.hu/cgi-bin/IBVS?6011"/>
    <hyperlink ref="P16" r:id="rId7" display="http://www.bav-astro.de/sfs/BAVM_link.php?BAVMnr=234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workbookViewId="0">
      <selection activeCell="A22" sqref="A22:D2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43</v>
      </c>
    </row>
    <row r="2" spans="1:5" x14ac:dyDescent="0.2">
      <c r="A2" t="s">
        <v>24</v>
      </c>
      <c r="B2" t="s">
        <v>30</v>
      </c>
    </row>
    <row r="3" spans="1:5" ht="13.5" thickBot="1" x14ac:dyDescent="0.25"/>
    <row r="4" spans="1:5" ht="14.25" thickTop="1" thickBot="1" x14ac:dyDescent="0.25">
      <c r="A4" s="6" t="s">
        <v>0</v>
      </c>
      <c r="C4" s="3">
        <v>40152.366999999998</v>
      </c>
      <c r="D4" s="4">
        <v>1.1559330000000001</v>
      </c>
    </row>
    <row r="5" spans="1:5" ht="13.5" thickTop="1" x14ac:dyDescent="0.2"/>
    <row r="6" spans="1:5" x14ac:dyDescent="0.2">
      <c r="A6" s="6" t="s">
        <v>1</v>
      </c>
    </row>
    <row r="7" spans="1:5" x14ac:dyDescent="0.2">
      <c r="A7" t="s">
        <v>2</v>
      </c>
      <c r="C7">
        <v>54083.88194478854</v>
      </c>
    </row>
    <row r="8" spans="1:5" x14ac:dyDescent="0.2">
      <c r="A8" t="s">
        <v>3</v>
      </c>
      <c r="C8">
        <v>1.1559504598248387</v>
      </c>
    </row>
    <row r="9" spans="1:5" x14ac:dyDescent="0.2">
      <c r="A9" s="13" t="s">
        <v>33</v>
      </c>
      <c r="B9" s="14"/>
      <c r="C9" s="15">
        <v>8</v>
      </c>
      <c r="D9" s="14" t="s">
        <v>34</v>
      </c>
      <c r="E9" s="14"/>
    </row>
    <row r="10" spans="1:5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5" x14ac:dyDescent="0.2">
      <c r="A11" s="14" t="s">
        <v>16</v>
      </c>
      <c r="B11" s="14"/>
      <c r="C11" s="14">
        <f>INTERCEPT(G21:G998,F21:F998)</f>
        <v>9.2958996520815424E-6</v>
      </c>
      <c r="D11" s="16"/>
      <c r="E11" s="14"/>
    </row>
    <row r="12" spans="1:5" x14ac:dyDescent="0.2">
      <c r="A12" s="14" t="s">
        <v>17</v>
      </c>
      <c r="B12" s="14"/>
      <c r="C12" s="14">
        <f>SLOPE(G21:G998,F21:F998)</f>
        <v>9.1476577536860154E-10</v>
      </c>
      <c r="D12" s="16"/>
      <c r="E12" s="14"/>
    </row>
    <row r="13" spans="1:5" x14ac:dyDescent="0.2">
      <c r="A13" s="14" t="s">
        <v>19</v>
      </c>
      <c r="B13" s="14"/>
      <c r="C13" s="16" t="s">
        <v>14</v>
      </c>
      <c r="D13" s="16"/>
      <c r="E13" s="14"/>
    </row>
    <row r="14" spans="1:5" x14ac:dyDescent="0.2">
      <c r="A14" s="14"/>
      <c r="B14" s="14"/>
      <c r="C14" s="14"/>
      <c r="D14" s="14"/>
      <c r="E14" s="14"/>
    </row>
    <row r="15" spans="1:5" x14ac:dyDescent="0.2">
      <c r="A15" s="17" t="s">
        <v>18</v>
      </c>
      <c r="B15" s="14"/>
      <c r="C15" s="18">
        <f>(C7+C11)+(C8+C12)*INT(MAX(F21:F3533))</f>
        <v>54724.278509334181</v>
      </c>
      <c r="D15" s="19" t="s">
        <v>35</v>
      </c>
      <c r="E15" s="20">
        <f ca="1">TODAY()+15018.5-B9/24</f>
        <v>60372.5</v>
      </c>
    </row>
    <row r="16" spans="1:5" x14ac:dyDescent="0.2">
      <c r="A16" s="21" t="s">
        <v>4</v>
      </c>
      <c r="B16" s="14"/>
      <c r="C16" s="22">
        <f>+C8+C12</f>
        <v>1.1559504607396045</v>
      </c>
      <c r="D16" s="19" t="s">
        <v>36</v>
      </c>
      <c r="E16" s="20">
        <f ca="1">ROUND(2*(E15-C15)/C16,0)/2+1</f>
        <v>4887</v>
      </c>
    </row>
    <row r="17" spans="1:17" ht="13.5" thickBot="1" x14ac:dyDescent="0.25">
      <c r="A17" s="19" t="s">
        <v>32</v>
      </c>
      <c r="B17" s="14"/>
      <c r="C17" s="14">
        <f>COUNT(C21:C2191)</f>
        <v>4</v>
      </c>
      <c r="D17" s="19" t="s">
        <v>37</v>
      </c>
      <c r="E17" s="23">
        <f ca="1">+C15+C16*E16-15018.5-C9/24</f>
        <v>45354.575077635294</v>
      </c>
    </row>
    <row r="18" spans="1:17" x14ac:dyDescent="0.2">
      <c r="A18" s="21" t="s">
        <v>5</v>
      </c>
      <c r="B18" s="14"/>
      <c r="C18" s="24">
        <f>+C15</f>
        <v>54724.278509334181</v>
      </c>
      <c r="D18" s="25">
        <f>+C16</f>
        <v>1.1559504607396045</v>
      </c>
      <c r="E18" s="26" t="s">
        <v>38</v>
      </c>
    </row>
    <row r="19" spans="1:17" ht="13.5" thickTop="1" x14ac:dyDescent="0.2"/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29</v>
      </c>
      <c r="J20" s="8" t="s">
        <v>42</v>
      </c>
      <c r="K20" s="8" t="s">
        <v>25</v>
      </c>
      <c r="L20" s="8" t="s">
        <v>26</v>
      </c>
      <c r="M20" s="8" t="s">
        <v>27</v>
      </c>
      <c r="N20" s="8" t="s">
        <v>28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1">
        <f>+C4</f>
        <v>40152.366999999998</v>
      </c>
      <c r="D21" s="11" t="s">
        <v>14</v>
      </c>
      <c r="E21">
        <f>+(C21-C$7)/C$8</f>
        <v>-12052.000002577606</v>
      </c>
      <c r="F21">
        <f>ROUND(2*E21,0)/2</f>
        <v>-12052</v>
      </c>
      <c r="G21">
        <f>+C21-(C$7+F21*C$8)</f>
        <v>-2.9795846785418689E-6</v>
      </c>
      <c r="H21">
        <f>+G21</f>
        <v>-2.9795846785418689E-6</v>
      </c>
      <c r="O21">
        <f>+C$11+C$12*$F21</f>
        <v>-1.7288574726608428E-6</v>
      </c>
      <c r="Q21" s="2">
        <f>+C21-15018.5</f>
        <v>25133.866999999998</v>
      </c>
    </row>
    <row r="22" spans="1:17" x14ac:dyDescent="0.2">
      <c r="A22" s="10" t="s">
        <v>31</v>
      </c>
      <c r="B22" s="9"/>
      <c r="C22" s="12">
        <v>52279.443299999999</v>
      </c>
      <c r="D22" s="12">
        <v>8.0000000000000004E-4</v>
      </c>
      <c r="E22">
        <f>+(C22-C$7)/C$8</f>
        <v>-1560.9999801046558</v>
      </c>
      <c r="F22">
        <f>ROUND(2*E22,0)/2</f>
        <v>-1561</v>
      </c>
      <c r="G22">
        <f>+C22-(C$7+F22*C$8)</f>
        <v>2.2998036001808941E-5</v>
      </c>
      <c r="I22">
        <f>+G22</f>
        <v>2.2998036001808941E-5</v>
      </c>
      <c r="O22">
        <f>+C$11+C$12*$F22</f>
        <v>7.8679502767311558E-6</v>
      </c>
      <c r="Q22" s="2">
        <f>+C22-15018.5</f>
        <v>37260.943299999999</v>
      </c>
    </row>
    <row r="23" spans="1:17" x14ac:dyDescent="0.2">
      <c r="A23" s="27" t="s">
        <v>39</v>
      </c>
      <c r="B23" s="28" t="s">
        <v>40</v>
      </c>
      <c r="C23" s="29">
        <v>54084.459900000002</v>
      </c>
      <c r="D23" s="11">
        <v>6.9999999999999999E-4</v>
      </c>
      <c r="E23">
        <f>+(C23-C$7)/C$8</f>
        <v>0.49998268225905662</v>
      </c>
      <c r="F23">
        <f>ROUND(2*E23,0)/2</f>
        <v>0.5</v>
      </c>
      <c r="G23">
        <f>+C23-(C$7+F23*C$8)</f>
        <v>-2.0018451323267072E-5</v>
      </c>
      <c r="I23">
        <f>+G23</f>
        <v>-2.0018451323267072E-5</v>
      </c>
      <c r="O23">
        <f>+C$11+C$12*$F23</f>
        <v>9.296357034969227E-6</v>
      </c>
      <c r="Q23" s="2">
        <f>+C23-15018.5</f>
        <v>39065.959900000002</v>
      </c>
    </row>
    <row r="24" spans="1:17" x14ac:dyDescent="0.2">
      <c r="A24" s="6" t="s">
        <v>41</v>
      </c>
      <c r="C24" s="11">
        <v>54724.856500000002</v>
      </c>
      <c r="D24" s="11">
        <v>2.0000000000000001E-4</v>
      </c>
      <c r="E24">
        <f>+(C24-C$7)/C$8</f>
        <v>554.50002183362494</v>
      </c>
      <c r="F24">
        <f>ROUND(2*E24,0)/2</f>
        <v>554.5</v>
      </c>
      <c r="G24">
        <f>+C24-(C$7+F24*C$8)</f>
        <v>2.5238587113562971E-5</v>
      </c>
      <c r="J24">
        <f>+G24</f>
        <v>2.5238587113562971E-5</v>
      </c>
      <c r="O24">
        <f>+C$11+C$12*$F24</f>
        <v>9.8031372745234313E-6</v>
      </c>
      <c r="Q24" s="2">
        <f>+C24-15018.5</f>
        <v>39706.356500000002</v>
      </c>
    </row>
    <row r="25" spans="1:17" x14ac:dyDescent="0.2">
      <c r="C25" s="11"/>
      <c r="D25" s="11"/>
      <c r="Q25" s="2"/>
    </row>
    <row r="26" spans="1:17" x14ac:dyDescent="0.2">
      <c r="C26" s="11"/>
      <c r="D26" s="11"/>
      <c r="Q26" s="2"/>
    </row>
    <row r="27" spans="1:17" x14ac:dyDescent="0.2">
      <c r="C27" s="11"/>
      <c r="D27" s="11"/>
      <c r="Q27" s="2"/>
    </row>
    <row r="28" spans="1:17" x14ac:dyDescent="0.2">
      <c r="C28" s="11"/>
      <c r="D28" s="11"/>
      <c r="Q28" s="2"/>
    </row>
    <row r="29" spans="1:17" x14ac:dyDescent="0.2">
      <c r="C29" s="11"/>
      <c r="D29" s="11"/>
      <c r="Q29" s="2"/>
    </row>
    <row r="30" spans="1:17" x14ac:dyDescent="0.2">
      <c r="C30" s="11"/>
      <c r="D30" s="11"/>
      <c r="Q30" s="2"/>
    </row>
    <row r="31" spans="1:17" x14ac:dyDescent="0.2">
      <c r="C31" s="11"/>
      <c r="D31" s="11"/>
      <c r="Q31" s="2"/>
    </row>
    <row r="32" spans="1:17" x14ac:dyDescent="0.2">
      <c r="C32" s="11"/>
      <c r="D32" s="11"/>
      <c r="Q32" s="2"/>
    </row>
    <row r="33" spans="3:17" x14ac:dyDescent="0.2">
      <c r="C33" s="11"/>
      <c r="D33" s="11"/>
      <c r="Q33" s="2"/>
    </row>
    <row r="34" spans="3:17" x14ac:dyDescent="0.2">
      <c r="C34" s="11"/>
      <c r="D34" s="11"/>
    </row>
    <row r="35" spans="3:17" x14ac:dyDescent="0.2">
      <c r="C35" s="11"/>
      <c r="D35" s="11"/>
    </row>
    <row r="36" spans="3:17" x14ac:dyDescent="0.2">
      <c r="C36" s="11"/>
      <c r="D36" s="11"/>
    </row>
    <row r="37" spans="3:17" x14ac:dyDescent="0.2">
      <c r="C37" s="11"/>
      <c r="D37" s="11"/>
    </row>
    <row r="38" spans="3:17" x14ac:dyDescent="0.2">
      <c r="C38" s="11"/>
      <c r="D38" s="11"/>
    </row>
    <row r="39" spans="3:17" x14ac:dyDescent="0.2">
      <c r="C39" s="11"/>
      <c r="D39" s="11"/>
    </row>
    <row r="40" spans="3:17" x14ac:dyDescent="0.2">
      <c r="C40" s="11"/>
      <c r="D40" s="11"/>
    </row>
    <row r="41" spans="3:17" x14ac:dyDescent="0.2">
      <c r="C41" s="11"/>
      <c r="D41" s="11"/>
    </row>
    <row r="42" spans="3:17" x14ac:dyDescent="0.2">
      <c r="C42" s="11"/>
      <c r="D42" s="11"/>
    </row>
    <row r="43" spans="3:17" x14ac:dyDescent="0.2">
      <c r="C43" s="11"/>
      <c r="D43" s="11"/>
    </row>
    <row r="44" spans="3:17" x14ac:dyDescent="0.2">
      <c r="C44" s="11"/>
      <c r="D44" s="11"/>
    </row>
    <row r="45" spans="3:17" x14ac:dyDescent="0.2">
      <c r="C45" s="11"/>
      <c r="D45" s="11"/>
    </row>
    <row r="46" spans="3:17" x14ac:dyDescent="0.2">
      <c r="C46" s="11"/>
      <c r="D46" s="11"/>
    </row>
    <row r="47" spans="3:17" x14ac:dyDescent="0.2">
      <c r="C47" s="11"/>
      <c r="D47" s="11"/>
    </row>
    <row r="48" spans="3:17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2024-03-03T06:12:38Z</dcterms:modified>
</cp:coreProperties>
</file>