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4308AE1-7516-434E-9F72-5332D79E062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5" i="1" l="1"/>
  <c r="F16" i="1" s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K66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87" i="1"/>
  <c r="F87" i="1"/>
  <c r="G87" i="1"/>
  <c r="J87" i="1"/>
  <c r="E88" i="1"/>
  <c r="F88" i="1"/>
  <c r="G88" i="1"/>
  <c r="J88" i="1"/>
  <c r="E89" i="1"/>
  <c r="F89" i="1"/>
  <c r="G89" i="1"/>
  <c r="J89" i="1"/>
  <c r="E90" i="1"/>
  <c r="F90" i="1"/>
  <c r="G90" i="1"/>
  <c r="J90" i="1"/>
  <c r="D5" i="1"/>
  <c r="C5" i="1"/>
  <c r="E42" i="1"/>
  <c r="F42" i="1"/>
  <c r="G42" i="1"/>
  <c r="H42" i="1"/>
  <c r="E43" i="1"/>
  <c r="F43" i="1"/>
  <c r="G43" i="1"/>
  <c r="I43" i="1"/>
  <c r="E44" i="1"/>
  <c r="F44" i="1"/>
  <c r="G44" i="1"/>
  <c r="H44" i="1"/>
  <c r="E45" i="1"/>
  <c r="F45" i="1"/>
  <c r="E46" i="1"/>
  <c r="F46" i="1"/>
  <c r="G46" i="1"/>
  <c r="I46" i="1"/>
  <c r="E67" i="1"/>
  <c r="F67" i="1"/>
  <c r="G67" i="1"/>
  <c r="J67" i="1"/>
  <c r="E68" i="1"/>
  <c r="F68" i="1"/>
  <c r="G68" i="1"/>
  <c r="J68" i="1"/>
  <c r="E69" i="1"/>
  <c r="F69" i="1"/>
  <c r="G69" i="1"/>
  <c r="J69" i="1"/>
  <c r="E70" i="1"/>
  <c r="F70" i="1"/>
  <c r="G70" i="1"/>
  <c r="J70" i="1"/>
  <c r="E71" i="1"/>
  <c r="F71" i="1"/>
  <c r="G71" i="1"/>
  <c r="J71" i="1"/>
  <c r="E72" i="1"/>
  <c r="F72" i="1"/>
  <c r="G72" i="1"/>
  <c r="J72" i="1"/>
  <c r="E73" i="1"/>
  <c r="F73" i="1"/>
  <c r="G73" i="1"/>
  <c r="J73" i="1"/>
  <c r="E74" i="1"/>
  <c r="F74" i="1"/>
  <c r="G74" i="1"/>
  <c r="E75" i="1"/>
  <c r="F75" i="1"/>
  <c r="G75" i="1"/>
  <c r="J75" i="1"/>
  <c r="E76" i="1"/>
  <c r="F76" i="1"/>
  <c r="G76" i="1"/>
  <c r="J76" i="1"/>
  <c r="E77" i="1"/>
  <c r="F77" i="1"/>
  <c r="G77" i="1"/>
  <c r="J77" i="1"/>
  <c r="E78" i="1"/>
  <c r="F78" i="1"/>
  <c r="G78" i="1"/>
  <c r="J78" i="1"/>
  <c r="E79" i="1"/>
  <c r="F79" i="1"/>
  <c r="G79" i="1"/>
  <c r="J79" i="1"/>
  <c r="E80" i="1"/>
  <c r="F80" i="1"/>
  <c r="G80" i="1"/>
  <c r="J80" i="1"/>
  <c r="E81" i="1"/>
  <c r="F81" i="1"/>
  <c r="G81" i="1"/>
  <c r="J81" i="1"/>
  <c r="E82" i="1"/>
  <c r="F82" i="1"/>
  <c r="G82" i="1"/>
  <c r="J82" i="1"/>
  <c r="E83" i="1"/>
  <c r="F83" i="1"/>
  <c r="G83" i="1"/>
  <c r="J83" i="1"/>
  <c r="E84" i="1"/>
  <c r="F84" i="1"/>
  <c r="G84" i="1"/>
  <c r="J84" i="1"/>
  <c r="E85" i="1"/>
  <c r="F85" i="1"/>
  <c r="G85" i="1"/>
  <c r="J85" i="1"/>
  <c r="E86" i="1"/>
  <c r="F86" i="1"/>
  <c r="G86" i="1"/>
  <c r="J86" i="1"/>
  <c r="E91" i="1"/>
  <c r="F91" i="1"/>
  <c r="G91" i="1"/>
  <c r="K91" i="1"/>
  <c r="E92" i="1"/>
  <c r="F92" i="1"/>
  <c r="G92" i="1"/>
  <c r="K92" i="1"/>
  <c r="E93" i="1"/>
  <c r="F93" i="1"/>
  <c r="G93" i="1"/>
  <c r="K93" i="1"/>
  <c r="E21" i="1"/>
  <c r="F21" i="1"/>
  <c r="G21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J39" i="1"/>
  <c r="E40" i="1"/>
  <c r="F40" i="1"/>
  <c r="G40" i="1"/>
  <c r="H40" i="1"/>
  <c r="E41" i="1"/>
  <c r="F41" i="1"/>
  <c r="G41" i="1"/>
  <c r="H41" i="1"/>
  <c r="Q66" i="1"/>
  <c r="Q63" i="1"/>
  <c r="Q61" i="1"/>
  <c r="Q86" i="1"/>
  <c r="Q85" i="1"/>
  <c r="Q60" i="1"/>
  <c r="Q84" i="1"/>
  <c r="Q83" i="1"/>
  <c r="Q82" i="1"/>
  <c r="Q54" i="1"/>
  <c r="Q80" i="1"/>
  <c r="Q79" i="1"/>
  <c r="Q92" i="1"/>
  <c r="Q78" i="1"/>
  <c r="Q48" i="1"/>
  <c r="Q77" i="1"/>
  <c r="Q76" i="1"/>
  <c r="Q75" i="1"/>
  <c r="Q74" i="1"/>
  <c r="J74" i="1"/>
  <c r="Q73" i="1"/>
  <c r="Q91" i="1"/>
  <c r="Q72" i="1"/>
  <c r="Q71" i="1"/>
  <c r="Q47" i="1"/>
  <c r="Q69" i="1"/>
  <c r="Q68" i="1"/>
  <c r="Q42" i="1"/>
  <c r="Q41" i="1"/>
  <c r="Q40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H21" i="1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79" i="2"/>
  <c r="C79" i="2"/>
  <c r="E79" i="2"/>
  <c r="G27" i="2"/>
  <c r="C27" i="2"/>
  <c r="E27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71" i="2"/>
  <c r="C71" i="2"/>
  <c r="E71" i="2"/>
  <c r="G70" i="2"/>
  <c r="C70" i="2"/>
  <c r="E70" i="2"/>
  <c r="G69" i="2"/>
  <c r="C69" i="2"/>
  <c r="E69" i="2"/>
  <c r="G19" i="2"/>
  <c r="C19" i="2"/>
  <c r="E19" i="2"/>
  <c r="G18" i="2"/>
  <c r="C18" i="2"/>
  <c r="E18" i="2"/>
  <c r="G17" i="2"/>
  <c r="C17" i="2"/>
  <c r="E17" i="2"/>
  <c r="G68" i="2"/>
  <c r="C68" i="2"/>
  <c r="E68" i="2"/>
  <c r="G67" i="2"/>
  <c r="C67" i="2"/>
  <c r="E67" i="2"/>
  <c r="G16" i="2"/>
  <c r="C16" i="2"/>
  <c r="E16" i="2"/>
  <c r="G15" i="2"/>
  <c r="C15" i="2"/>
  <c r="E15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14" i="2"/>
  <c r="C14" i="2"/>
  <c r="E14" i="2"/>
  <c r="G13" i="2"/>
  <c r="C13" i="2"/>
  <c r="E13" i="2"/>
  <c r="G56" i="2"/>
  <c r="C56" i="2"/>
  <c r="E56" i="2"/>
  <c r="G55" i="2"/>
  <c r="C55" i="2"/>
  <c r="E55" i="2"/>
  <c r="G54" i="2"/>
  <c r="C54" i="2"/>
  <c r="E54" i="2"/>
  <c r="G12" i="2"/>
  <c r="C12" i="2"/>
  <c r="E12" i="2"/>
  <c r="G53" i="2"/>
  <c r="C53" i="2"/>
  <c r="E53" i="2"/>
  <c r="G52" i="2"/>
  <c r="C52" i="2"/>
  <c r="E52" i="2"/>
  <c r="G11" i="2"/>
  <c r="C11" i="2"/>
  <c r="E11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H33" i="2"/>
  <c r="B33" i="2"/>
  <c r="F33" i="2"/>
  <c r="D33" i="2"/>
  <c r="A33" i="2"/>
  <c r="H32" i="2"/>
  <c r="F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79" i="2"/>
  <c r="D79" i="2"/>
  <c r="B79" i="2"/>
  <c r="A79" i="2"/>
  <c r="H27" i="2"/>
  <c r="D27" i="2"/>
  <c r="B27" i="2"/>
  <c r="A27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71" i="2"/>
  <c r="D71" i="2"/>
  <c r="B71" i="2"/>
  <c r="A71" i="2"/>
  <c r="H70" i="2"/>
  <c r="D70" i="2"/>
  <c r="B70" i="2"/>
  <c r="A70" i="2"/>
  <c r="H69" i="2"/>
  <c r="D69" i="2"/>
  <c r="B69" i="2"/>
  <c r="A69" i="2"/>
  <c r="H19" i="2"/>
  <c r="D19" i="2"/>
  <c r="B19" i="2"/>
  <c r="A19" i="2"/>
  <c r="H18" i="2"/>
  <c r="D18" i="2"/>
  <c r="B18" i="2"/>
  <c r="A18" i="2"/>
  <c r="H17" i="2"/>
  <c r="D17" i="2"/>
  <c r="B17" i="2"/>
  <c r="A17" i="2"/>
  <c r="H68" i="2"/>
  <c r="D68" i="2"/>
  <c r="B68" i="2"/>
  <c r="A68" i="2"/>
  <c r="H67" i="2"/>
  <c r="D67" i="2"/>
  <c r="B67" i="2"/>
  <c r="A67" i="2"/>
  <c r="H16" i="2"/>
  <c r="D16" i="2"/>
  <c r="B16" i="2"/>
  <c r="A16" i="2"/>
  <c r="H15" i="2"/>
  <c r="D15" i="2"/>
  <c r="B15" i="2"/>
  <c r="A15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14" i="2"/>
  <c r="D14" i="2"/>
  <c r="B14" i="2"/>
  <c r="A14" i="2"/>
  <c r="H13" i="2"/>
  <c r="D13" i="2"/>
  <c r="B13" i="2"/>
  <c r="A13" i="2"/>
  <c r="H56" i="2"/>
  <c r="D56" i="2"/>
  <c r="B56" i="2"/>
  <c r="A56" i="2"/>
  <c r="H55" i="2"/>
  <c r="D55" i="2"/>
  <c r="B55" i="2"/>
  <c r="A55" i="2"/>
  <c r="H54" i="2"/>
  <c r="D54" i="2"/>
  <c r="B54" i="2"/>
  <c r="A54" i="2"/>
  <c r="H12" i="2"/>
  <c r="D12" i="2"/>
  <c r="B12" i="2"/>
  <c r="A12" i="2"/>
  <c r="H53" i="2"/>
  <c r="D53" i="2"/>
  <c r="B53" i="2"/>
  <c r="A53" i="2"/>
  <c r="H52" i="2"/>
  <c r="D52" i="2"/>
  <c r="B52" i="2"/>
  <c r="A52" i="2"/>
  <c r="H11" i="2"/>
  <c r="D11" i="2"/>
  <c r="B11" i="2"/>
  <c r="A11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Q90" i="1"/>
  <c r="Q89" i="1"/>
  <c r="Q88" i="1"/>
  <c r="Q65" i="1"/>
  <c r="C17" i="1"/>
  <c r="Q87" i="1"/>
  <c r="Q39" i="1"/>
  <c r="Q67" i="1"/>
  <c r="Q70" i="1"/>
  <c r="Q45" i="1"/>
  <c r="Q46" i="1"/>
  <c r="Q49" i="1"/>
  <c r="Q50" i="1"/>
  <c r="Q51" i="1"/>
  <c r="Q52" i="1"/>
  <c r="Q53" i="1"/>
  <c r="Q43" i="1"/>
  <c r="Q93" i="1"/>
  <c r="Q55" i="1"/>
  <c r="Q81" i="1"/>
  <c r="Q56" i="1"/>
  <c r="Q57" i="1"/>
  <c r="Q58" i="1"/>
  <c r="Q59" i="1"/>
  <c r="Q62" i="1"/>
  <c r="Q64" i="1"/>
  <c r="Q44" i="1"/>
  <c r="C12" i="1"/>
  <c r="C11" i="1"/>
  <c r="O50" i="1" l="1"/>
  <c r="O39" i="1"/>
  <c r="O83" i="1"/>
  <c r="O31" i="1"/>
  <c r="O69" i="1"/>
  <c r="O22" i="1"/>
  <c r="O42" i="1"/>
  <c r="O55" i="1"/>
  <c r="O21" i="1"/>
  <c r="O87" i="1"/>
  <c r="O52" i="1"/>
  <c r="O63" i="1"/>
  <c r="O51" i="1"/>
  <c r="O45" i="1"/>
  <c r="O61" i="1"/>
  <c r="O27" i="1"/>
  <c r="O70" i="1"/>
  <c r="O88" i="1"/>
  <c r="O33" i="1"/>
  <c r="O80" i="1"/>
  <c r="O49" i="1"/>
  <c r="O86" i="1"/>
  <c r="O72" i="1"/>
  <c r="C15" i="1"/>
  <c r="O93" i="1"/>
  <c r="O53" i="1"/>
  <c r="O78" i="1"/>
  <c r="O62" i="1"/>
  <c r="O43" i="1"/>
  <c r="O60" i="1"/>
  <c r="O23" i="1"/>
  <c r="O58" i="1"/>
  <c r="O57" i="1"/>
  <c r="O44" i="1"/>
  <c r="O32" i="1"/>
  <c r="O92" i="1"/>
  <c r="O68" i="1"/>
  <c r="O30" i="1"/>
  <c r="O34" i="1"/>
  <c r="O26" i="1"/>
  <c r="O76" i="1"/>
  <c r="O67" i="1"/>
  <c r="O81" i="1"/>
  <c r="O82" i="1"/>
  <c r="O56" i="1"/>
  <c r="O84" i="1"/>
  <c r="O66" i="1"/>
  <c r="O64" i="1"/>
  <c r="O35" i="1"/>
  <c r="O73" i="1"/>
  <c r="O75" i="1"/>
  <c r="O65" i="1"/>
  <c r="O41" i="1"/>
  <c r="O85" i="1"/>
  <c r="O59" i="1"/>
  <c r="O79" i="1"/>
  <c r="O48" i="1"/>
  <c r="O91" i="1"/>
  <c r="O54" i="1"/>
  <c r="O90" i="1"/>
  <c r="O74" i="1"/>
  <c r="O71" i="1"/>
  <c r="O36" i="1"/>
  <c r="O38" i="1"/>
  <c r="O28" i="1"/>
  <c r="O40" i="1"/>
  <c r="O77" i="1"/>
  <c r="O24" i="1"/>
  <c r="O46" i="1"/>
  <c r="O29" i="1"/>
  <c r="O25" i="1"/>
  <c r="O37" i="1"/>
  <c r="O89" i="1"/>
  <c r="O47" i="1"/>
  <c r="C16" i="1"/>
  <c r="D18" i="1" s="1"/>
  <c r="C18" i="1" l="1"/>
  <c r="F17" i="1"/>
  <c r="F18" i="1" s="1"/>
</calcChain>
</file>

<file path=xl/sharedStrings.xml><?xml version="1.0" encoding="utf-8"?>
<sst xmlns="http://schemas.openxmlformats.org/spreadsheetml/2006/main" count="745" uniqueCount="311">
  <si>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</si>
  <si>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</si>
  <si>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</si>
  <si>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</si>
  <si>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</si>
  <si>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</si>
  <si>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</si>
  <si>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</si>
  <si>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</si>
  <si>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</si>
  <si>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</si>
  <si>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</si>
  <si>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</si>
  <si>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</si>
  <si>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</si>
  <si>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</si>
  <si>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</si>
  <si>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</si>
  <si>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</si>
  <si>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</si>
  <si>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</si>
  <si>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</si>
  <si>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</si>
  <si>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</si>
  <si>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</si>
  <si>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</si>
  <si>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</si>
  <si>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Cracow</t>
  </si>
  <si>
    <t>not avail.</t>
  </si>
  <si>
    <t>Martignoni M</t>
  </si>
  <si>
    <t>BBSAG Bull.113</t>
  </si>
  <si>
    <t>B</t>
  </si>
  <si>
    <t>Acerbi F</t>
  </si>
  <si>
    <t>BBSAG Bull.98</t>
  </si>
  <si>
    <t>BBSAG Bull.106</t>
  </si>
  <si>
    <t>BBSAG Bull.100</t>
  </si>
  <si>
    <t>Dahm M</t>
  </si>
  <si>
    <t>Diethelm R</t>
  </si>
  <si>
    <t>BBSAG Bull.103</t>
  </si>
  <si>
    <t>BBSAG Bull.104</t>
  </si>
  <si>
    <t>Blaettler E</t>
  </si>
  <si>
    <t>BBSAG Bull.107</t>
  </si>
  <si>
    <t>Frangeul M</t>
  </si>
  <si>
    <t>BBSAG Bull.111</t>
  </si>
  <si>
    <t>II</t>
  </si>
  <si>
    <t>IBVS 4712</t>
  </si>
  <si>
    <t>I</t>
  </si>
  <si>
    <t>IBVS 3479</t>
  </si>
  <si>
    <t>http://www.as.ap.krakow.pl/o-c/data/getdata.php3?V505%20per</t>
  </si>
  <si>
    <t>Cracow dataB</t>
  </si>
  <si>
    <t>database</t>
  </si>
  <si>
    <t># of data points:</t>
  </si>
  <si>
    <t>EA/DM</t>
  </si>
  <si>
    <t>JD today</t>
  </si>
  <si>
    <t>Next ToM</t>
  </si>
  <si>
    <t>Add cycle</t>
  </si>
  <si>
    <t>Old Cycle</t>
  </si>
  <si>
    <t>Start of linear fit &gt;&gt;&gt;&gt;&gt;&gt;&gt;&gt;&gt;&gt;&gt;&gt;&gt;&gt;&gt;&gt;&gt;&gt;&gt;&gt;&gt;</t>
  </si>
  <si>
    <t>OEJV 0120</t>
  </si>
  <si>
    <t>vis</t>
  </si>
  <si>
    <t>IBVS 6118</t>
  </si>
  <si>
    <t>V0505 Per / GSC 03690-00536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</si>
  <si>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</si>
  <si>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</si>
  <si>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</si>
  <si>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</si>
  <si>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</si>
  <si>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</si>
  <si>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</si>
  <si>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</si>
  <si>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</si>
  <si>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</si>
  <si>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</si>
  <si>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</si>
  <si>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2416468.538 </t>
  </si>
  <si>
    <t> 20.12.1903 00:54 </t>
  </si>
  <si>
    <t> -0.023 </t>
  </si>
  <si>
    <t>P </t>
  </si>
  <si>
    <t> L.Marschall et al. </t>
  </si>
  <si>
    <t> AJ 114.793 </t>
  </si>
  <si>
    <t>2416563.526 </t>
  </si>
  <si>
    <t> 24.03.1904 00:37 </t>
  </si>
  <si>
    <t> -0.031 </t>
  </si>
  <si>
    <t>2416702.838 </t>
  </si>
  <si>
    <t> 10.08.1904 08:06 </t>
  </si>
  <si>
    <t> -0.045 </t>
  </si>
  <si>
    <t>2418277.681 </t>
  </si>
  <si>
    <t> 02.12.1908 04:20 </t>
  </si>
  <si>
    <t> -0.015 </t>
  </si>
  <si>
    <t>2418545.821 </t>
  </si>
  <si>
    <t> 27.08.1909 07:42 </t>
  </si>
  <si>
    <t> 0.027 </t>
  </si>
  <si>
    <t>2419381.748 </t>
  </si>
  <si>
    <t> 11.12.1911 05:57 </t>
  </si>
  <si>
    <t> -0.006 </t>
  </si>
  <si>
    <t>2420409.849 </t>
  </si>
  <si>
    <t> 04.10.1914 08:22 </t>
  </si>
  <si>
    <t> 0.034 </t>
  </si>
  <si>
    <t>2420751.811 </t>
  </si>
  <si>
    <t> 11.09.1915 07:27 </t>
  </si>
  <si>
    <t> 0.012 </t>
  </si>
  <si>
    <t>2422197.832 </t>
  </si>
  <si>
    <t> 27.08.1919 07:58 </t>
  </si>
  <si>
    <t> -0.008 </t>
  </si>
  <si>
    <t>2428469.632 </t>
  </si>
  <si>
    <t> 28.10.1936 03:10 </t>
  </si>
  <si>
    <t> -0.016 </t>
  </si>
  <si>
    <t>2428564.610 </t>
  </si>
  <si>
    <t> 31.01.1937 02:38 </t>
  </si>
  <si>
    <t> -0.033 </t>
  </si>
  <si>
    <t>2429193.705 </t>
  </si>
  <si>
    <t> 22.10.1938 04:55 </t>
  </si>
  <si>
    <t> -0.019 </t>
  </si>
  <si>
    <t>2429535.713 </t>
  </si>
  <si>
    <t> 29.09.1939 05:06 </t>
  </si>
  <si>
    <t> 0.006 </t>
  </si>
  <si>
    <t> Harvard </t>
  </si>
  <si>
    <t>IBVS 3442 </t>
  </si>
  <si>
    <t>2429898.776 </t>
  </si>
  <si>
    <t> 26.09.1940 06:37 </t>
  </si>
  <si>
    <t> -0.025 </t>
  </si>
  <si>
    <t>2430240.798 </t>
  </si>
  <si>
    <t> 03.09.1941 07:09 </t>
  </si>
  <si>
    <t> 0.014 </t>
  </si>
  <si>
    <t>2447736.826 </t>
  </si>
  <si>
    <t> 29.07.1989 07:49 </t>
  </si>
  <si>
    <t> -0.001 </t>
  </si>
  <si>
    <t> D.H.Kaiser </t>
  </si>
  <si>
    <t>2447789.586 </t>
  </si>
  <si>
    <t> 20.09.1989 02:03 </t>
  </si>
  <si>
    <t>2447808.594 </t>
  </si>
  <si>
    <t> 09.10.1989 02:15 </t>
  </si>
  <si>
    <t> -0.007 </t>
  </si>
  <si>
    <t>V </t>
  </si>
  <si>
    <t> D.Williams </t>
  </si>
  <si>
    <t>2447808.5994 </t>
  </si>
  <si>
    <t> 09.10.1989 02:23 </t>
  </si>
  <si>
    <t> -0.0016 </t>
  </si>
  <si>
    <t>E </t>
  </si>
  <si>
    <t>?</t>
  </si>
  <si>
    <t> H.Landis </t>
  </si>
  <si>
    <t>IBVS 3479 </t>
  </si>
  <si>
    <t>2447808.606 </t>
  </si>
  <si>
    <t> 09.10.1989 02:32 </t>
  </si>
  <si>
    <t> 0.005 </t>
  </si>
  <si>
    <t>2447808.608 </t>
  </si>
  <si>
    <t> 09.10.1989 02:35 </t>
  </si>
  <si>
    <t> 0.007 </t>
  </si>
  <si>
    <t> M.Baldwin </t>
  </si>
  <si>
    <t>2447810.7099 </t>
  </si>
  <si>
    <t> 11.10.1989 05:02 </t>
  </si>
  <si>
    <t> -0.0021 </t>
  </si>
  <si>
    <t>2447922.570 </t>
  </si>
  <si>
    <t> 31.01.1990 01:40 </t>
  </si>
  <si>
    <t>2447922.5921 </t>
  </si>
  <si>
    <t> 31.01.1990 02:12 </t>
  </si>
  <si>
    <t> -0.0034 </t>
  </si>
  <si>
    <t> F.Agerer </t>
  </si>
  <si>
    <t>BAVM 59 </t>
  </si>
  <si>
    <t>2447922.5948 </t>
  </si>
  <si>
    <t> 31.01.1990 02:16 </t>
  </si>
  <si>
    <t> -0.0007 </t>
  </si>
  <si>
    <t>B;V</t>
  </si>
  <si>
    <t>2447937.347 </t>
  </si>
  <si>
    <t> 14.02.1990 20:19 </t>
  </si>
  <si>
    <t> -0.026 </t>
  </si>
  <si>
    <t> M.Martignoni </t>
  </si>
  <si>
    <t> BBS 113 </t>
  </si>
  <si>
    <t>2448093.578 </t>
  </si>
  <si>
    <t> 21.07.1990 01:52 </t>
  </si>
  <si>
    <t> -0.009 </t>
  </si>
  <si>
    <t>2448127.374 </t>
  </si>
  <si>
    <t> 23.08.1990 20:58 </t>
  </si>
  <si>
    <t> 0.011 </t>
  </si>
  <si>
    <t> R.Schertler </t>
  </si>
  <si>
    <t>2448135.8068 </t>
  </si>
  <si>
    <t> 01.09.1990 07:21 </t>
  </si>
  <si>
    <t> -0.0006 </t>
  </si>
  <si>
    <t>G</t>
  </si>
  <si>
    <t>2448146.3753 </t>
  </si>
  <si>
    <t> 11.09.1990 21:00 </t>
  </si>
  <si>
    <t> 0.0129 </t>
  </si>
  <si>
    <t> O.Demircan et al. </t>
  </si>
  <si>
    <t> ASS 250.327 </t>
  </si>
  <si>
    <t>2448167.4693 </t>
  </si>
  <si>
    <t> 02.10.1990 23:15 </t>
  </si>
  <si>
    <t> -0.0032 </t>
  </si>
  <si>
    <t>2448186.4708 </t>
  </si>
  <si>
    <t> 21.10.1990 23:17 </t>
  </si>
  <si>
    <t> -0.0008 </t>
  </si>
  <si>
    <t>2448190.6934 </t>
  </si>
  <si>
    <t> 26.10.1990 04:38 </t>
  </si>
  <si>
    <t> -0.0002 </t>
  </si>
  <si>
    <t>2448260.3562 </t>
  </si>
  <si>
    <t> 03.01.1991 20:32 </t>
  </si>
  <si>
    <t>2448281.4657 </t>
  </si>
  <si>
    <t> 24.01.1991 23:10 </t>
  </si>
  <si>
    <t> -0.0013 </t>
  </si>
  <si>
    <t>2448281.4660 </t>
  </si>
  <si>
    <t> 24.01.1991 23:11 </t>
  </si>
  <si>
    <t> -0.0010 </t>
  </si>
  <si>
    <t>2448454.573 </t>
  </si>
  <si>
    <t> 17.07.1991 01:45 </t>
  </si>
  <si>
    <t> 0.003 </t>
  </si>
  <si>
    <t> F.Acerbi </t>
  </si>
  <si>
    <t> BBS 98 </t>
  </si>
  <si>
    <t>2448490.451 </t>
  </si>
  <si>
    <t> 21.08.1991 22:49 </t>
  </si>
  <si>
    <t> BBS 106 </t>
  </si>
  <si>
    <t>2448490.4565 </t>
  </si>
  <si>
    <t> 21.08.1991 22:57 </t>
  </si>
  <si>
    <t> -0.0004 </t>
  </si>
  <si>
    <t>BAVM 60 </t>
  </si>
  <si>
    <t>2448490.4571 </t>
  </si>
  <si>
    <t> 21.08.1991 22:58 </t>
  </si>
  <si>
    <t> 0.0002 </t>
  </si>
  <si>
    <t>2448507.351 </t>
  </si>
  <si>
    <t> 07.09.1991 20:25 </t>
  </si>
  <si>
    <t> BBS 100 </t>
  </si>
  <si>
    <t>2448509.448 </t>
  </si>
  <si>
    <t> 09.09.1991 22:45 </t>
  </si>
  <si>
    <t>2448509.454 </t>
  </si>
  <si>
    <t> 09.09.1991 22:53 </t>
  </si>
  <si>
    <t> -0.002 </t>
  </si>
  <si>
    <t>2448509.4549 </t>
  </si>
  <si>
    <t> 09.09.1991 22:55 </t>
  </si>
  <si>
    <t> -0.0011 </t>
  </si>
  <si>
    <t>2448509.475 </t>
  </si>
  <si>
    <t> 09.09.1991 23:24 </t>
  </si>
  <si>
    <t> 0.019 </t>
  </si>
  <si>
    <t> P.Enskonatus </t>
  </si>
  <si>
    <t> MVS 12.141 </t>
  </si>
  <si>
    <t>2448602.350 </t>
  </si>
  <si>
    <t> 11.12.1991 20:24 </t>
  </si>
  <si>
    <t> 0.010 </t>
  </si>
  <si>
    <t> M.Dahm </t>
  </si>
  <si>
    <t>2448619.223 </t>
  </si>
  <si>
    <t> 28.12.1991 17:21 </t>
  </si>
  <si>
    <t> -0.005 </t>
  </si>
  <si>
    <t>2448621.332 </t>
  </si>
  <si>
    <t> 30.12.1991 19:58 </t>
  </si>
  <si>
    <t>2448680.4531 </t>
  </si>
  <si>
    <t> 27.02.1992 22:52 </t>
  </si>
  <si>
    <t> 0.0054 </t>
  </si>
  <si>
    <t> R.Diethelm </t>
  </si>
  <si>
    <t>2448946.424 </t>
  </si>
  <si>
    <t> 19.11.1992 22:10 </t>
  </si>
  <si>
    <t> -0.011 </t>
  </si>
  <si>
    <t> M.Martignioni </t>
  </si>
  <si>
    <t> BBS 103 </t>
  </si>
  <si>
    <t>2448984.441 </t>
  </si>
  <si>
    <t> 27.12.1992 22:35 </t>
  </si>
  <si>
    <t> 0.008 </t>
  </si>
  <si>
    <t>2449041.427 </t>
  </si>
  <si>
    <t> 22.02.1993 22:14 </t>
  </si>
  <si>
    <t> BBS 104 </t>
  </si>
  <si>
    <t>2449058.3179 </t>
  </si>
  <si>
    <t> 11.03.1993 19:37 </t>
  </si>
  <si>
    <t> E.Blättler </t>
  </si>
  <si>
    <t>2449214.5317 </t>
  </si>
  <si>
    <t> 15.08.1993 00:45 </t>
  </si>
  <si>
    <t>BAVM 68 </t>
  </si>
  <si>
    <t>2449214.5319 </t>
  </si>
  <si>
    <t>2449250.4190 </t>
  </si>
  <si>
    <t> 19.09.1993 22:03 </t>
  </si>
  <si>
    <t>2449250.4192 </t>
  </si>
  <si>
    <t> -0.0009 </t>
  </si>
  <si>
    <t>2449288.4175 </t>
  </si>
  <si>
    <t> 27.10.1993 22:01 </t>
  </si>
  <si>
    <t>2449288.4180 </t>
  </si>
  <si>
    <t> -0.0003 </t>
  </si>
  <si>
    <t>2449400.304 </t>
  </si>
  <si>
    <t> 16.02.1994 19:17 </t>
  </si>
  <si>
    <t> 0.002 </t>
  </si>
  <si>
    <t> BBS 107 </t>
  </si>
  <si>
    <t>2449685.301 </t>
  </si>
  <si>
    <t> 28.11.1994 19:13 </t>
  </si>
  <si>
    <t> 0.013 </t>
  </si>
  <si>
    <t>BAVM 79 </t>
  </si>
  <si>
    <t>2450027.275 </t>
  </si>
  <si>
    <t> 05.11.1995 18:36 </t>
  </si>
  <si>
    <t> 0.004 </t>
  </si>
  <si>
    <t> M.Frangeul </t>
  </si>
  <si>
    <t> BBS 111 </t>
  </si>
  <si>
    <t>2451171.4393 </t>
  </si>
  <si>
    <t> 23.12.1998 22:32 </t>
  </si>
  <si>
    <t> 0.0010 </t>
  </si>
  <si>
    <t>BAVM 118 </t>
  </si>
  <si>
    <t>2454652.489 </t>
  </si>
  <si>
    <t> 04.07.2008 23:44 </t>
  </si>
  <si>
    <t> K.Rätz </t>
  </si>
  <si>
    <t>BAVM 204 </t>
  </si>
  <si>
    <t>2456592.5084 </t>
  </si>
  <si>
    <t> 27.10.2013 00:12 </t>
  </si>
  <si>
    <t>C </t>
  </si>
  <si>
    <t>-I</t>
  </si>
  <si>
    <t>BAVM 234 </t>
  </si>
  <si>
    <t>2456630.5098 </t>
  </si>
  <si>
    <t> 04.12.2013 00:14 </t>
  </si>
  <si>
    <t>977.5</t>
  </si>
  <si>
    <t> 0.0022 </t>
  </si>
  <si>
    <t>2456934.4935 </t>
  </si>
  <si>
    <t> 03.10.2014 23:50 </t>
  </si>
  <si>
    <t>1049.5</t>
  </si>
  <si>
    <t> 0.0006 </t>
  </si>
  <si>
    <t>BAVM 239 </t>
  </si>
  <si>
    <t>IBVS 3442</t>
  </si>
  <si>
    <t>IBVS 6196</t>
  </si>
  <si>
    <t>New Cycle</t>
  </si>
  <si>
    <t>Local time</t>
  </si>
  <si>
    <t>My time zone &gt;&gt;&gt;&gt;&gt;&gt;&gt;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</si>
</sst>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8" fillId="24" borderId="18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4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V0505 Per - O-C Diagr.</a:t>
            </a:r>
          </a:p>
        </c:rich>
      </c:tx>
      <c:layout>
        <c:manualLayout>
          <c:xMode val="edge"/>
          <c:yMode val="edge"/>
          <c:x val="0.3845070422535211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6056338028169"/>
          <c:y val="0.14723926380368099"/>
          <c:w val="0.832394366197183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-7436</c:v>
                </c:pt>
                <c:pt idx="1">
                  <c:v>-7413.5</c:v>
                </c:pt>
                <c:pt idx="2">
                  <c:v>-7380.5</c:v>
                </c:pt>
                <c:pt idx="3">
                  <c:v>-7007.5</c:v>
                </c:pt>
                <c:pt idx="4">
                  <c:v>-6944</c:v>
                </c:pt>
                <c:pt idx="5">
                  <c:v>-6746</c:v>
                </c:pt>
                <c:pt idx="6">
                  <c:v>-6502.5</c:v>
                </c:pt>
                <c:pt idx="7">
                  <c:v>-6421.5</c:v>
                </c:pt>
                <c:pt idx="8">
                  <c:v>-6079</c:v>
                </c:pt>
                <c:pt idx="9">
                  <c:v>-4593.5</c:v>
                </c:pt>
                <c:pt idx="10">
                  <c:v>-4571</c:v>
                </c:pt>
                <c:pt idx="11">
                  <c:v>-4422</c:v>
                </c:pt>
                <c:pt idx="12">
                  <c:v>-4341</c:v>
                </c:pt>
                <c:pt idx="13">
                  <c:v>-4255</c:v>
                </c:pt>
                <c:pt idx="14">
                  <c:v>-4174</c:v>
                </c:pt>
                <c:pt idx="15">
                  <c:v>-30</c:v>
                </c:pt>
                <c:pt idx="16">
                  <c:v>-17.5</c:v>
                </c:pt>
                <c:pt idx="17">
                  <c:v>-13</c:v>
                </c:pt>
                <c:pt idx="18">
                  <c:v>-13</c:v>
                </c:pt>
                <c:pt idx="19">
                  <c:v>-13</c:v>
                </c:pt>
                <c:pt idx="20">
                  <c:v>-13</c:v>
                </c:pt>
                <c:pt idx="21">
                  <c:v>14</c:v>
                </c:pt>
                <c:pt idx="22">
                  <c:v>175</c:v>
                </c:pt>
                <c:pt idx="23">
                  <c:v>0</c:v>
                </c:pt>
                <c:pt idx="24">
                  <c:v>17.5</c:v>
                </c:pt>
                <c:pt idx="25">
                  <c:v>54.5</c:v>
                </c:pt>
                <c:pt idx="26">
                  <c:v>62.5</c:v>
                </c:pt>
                <c:pt idx="27">
                  <c:v>99</c:v>
                </c:pt>
                <c:pt idx="28">
                  <c:v>140</c:v>
                </c:pt>
                <c:pt idx="29">
                  <c:v>148.5</c:v>
                </c:pt>
                <c:pt idx="30">
                  <c:v>152.5</c:v>
                </c:pt>
                <c:pt idx="31">
                  <c:v>153</c:v>
                </c:pt>
                <c:pt idx="32">
                  <c:v>153</c:v>
                </c:pt>
                <c:pt idx="33">
                  <c:v>153</c:v>
                </c:pt>
                <c:pt idx="34">
                  <c:v>179.5</c:v>
                </c:pt>
                <c:pt idx="35">
                  <c:v>256.5</c:v>
                </c:pt>
                <c:pt idx="36">
                  <c:v>265.5</c:v>
                </c:pt>
                <c:pt idx="37">
                  <c:v>279</c:v>
                </c:pt>
                <c:pt idx="38">
                  <c:v>283</c:v>
                </c:pt>
                <c:pt idx="39">
                  <c:v>328.5</c:v>
                </c:pt>
                <c:pt idx="40">
                  <c:v>337.5</c:v>
                </c:pt>
                <c:pt idx="41">
                  <c:v>364</c:v>
                </c:pt>
                <c:pt idx="42">
                  <c:v>431.5</c:v>
                </c:pt>
                <c:pt idx="43">
                  <c:v>512.5</c:v>
                </c:pt>
                <c:pt idx="44">
                  <c:v>1608</c:v>
                </c:pt>
                <c:pt idx="45">
                  <c:v>2234</c:v>
                </c:pt>
                <c:pt idx="46">
                  <c:v>-12.5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64.5</c:v>
                </c:pt>
                <c:pt idx="51">
                  <c:v>67</c:v>
                </c:pt>
                <c:pt idx="52">
                  <c:v>76.5</c:v>
                </c:pt>
                <c:pt idx="53">
                  <c:v>76.5</c:v>
                </c:pt>
                <c:pt idx="54">
                  <c:v>77.5</c:v>
                </c:pt>
                <c:pt idx="55">
                  <c:v>94</c:v>
                </c:pt>
                <c:pt idx="56">
                  <c:v>99</c:v>
                </c:pt>
                <c:pt idx="57">
                  <c:v>148.5</c:v>
                </c:pt>
                <c:pt idx="58">
                  <c:v>153</c:v>
                </c:pt>
                <c:pt idx="59">
                  <c:v>153</c:v>
                </c:pt>
                <c:pt idx="60">
                  <c:v>193.5</c:v>
                </c:pt>
                <c:pt idx="61">
                  <c:v>283</c:v>
                </c:pt>
                <c:pt idx="62">
                  <c:v>320</c:v>
                </c:pt>
                <c:pt idx="63">
                  <c:v>320</c:v>
                </c:pt>
                <c:pt idx="64">
                  <c:v>328.5</c:v>
                </c:pt>
                <c:pt idx="65">
                  <c:v>337.5</c:v>
                </c:pt>
                <c:pt idx="66">
                  <c:v>783.5</c:v>
                </c:pt>
                <c:pt idx="67">
                  <c:v>2067.5</c:v>
                </c:pt>
                <c:pt idx="68">
                  <c:v>2076.5</c:v>
                </c:pt>
                <c:pt idx="69">
                  <c:v>2148.5</c:v>
                </c:pt>
                <c:pt idx="70">
                  <c:v>72</c:v>
                </c:pt>
                <c:pt idx="71">
                  <c:v>148.5</c:v>
                </c:pt>
                <c:pt idx="72">
                  <c:v>179</c:v>
                </c:pt>
              </c:numCache>
            </c:numRef>
          </c:xVal>
          <c:yVal>
            <c:numRef>
              <c:f>Active!$H$22:$H$993</c:f>
              <c:numCache>
                <c:formatCode>General</c:formatCode>
                <c:ptCount val="972"/>
                <c:pt idx="0">
                  <c:v>-2.1290125001542037E-2</c:v>
                </c:pt>
                <c:pt idx="1">
                  <c:v>-3.5925375002989313E-2</c:v>
                </c:pt>
                <c:pt idx="2">
                  <c:v>-6.1056250015099067E-3</c:v>
                </c:pt>
                <c:pt idx="3">
                  <c:v>3.5671999998157844E-2</c:v>
                </c:pt>
                <c:pt idx="4">
                  <c:v>2.8604999970411882E-3</c:v>
                </c:pt>
                <c:pt idx="5">
                  <c:v>4.2173124995315447E-2</c:v>
                </c:pt>
                <c:pt idx="6">
                  <c:v>2.0613874999980908E-2</c:v>
                </c:pt>
                <c:pt idx="7">
                  <c:v>2.0749997929669917E-5</c:v>
                </c:pt>
                <c:pt idx="8">
                  <c:v>-9.575125000992557E-3</c:v>
                </c:pt>
                <c:pt idx="9">
                  <c:v>-2.7008250002836576E-2</c:v>
                </c:pt>
                <c:pt idx="10">
                  <c:v>-1.287650000085705E-2</c:v>
                </c:pt>
                <c:pt idx="11">
                  <c:v>1.1564249998627929E-2</c:v>
                </c:pt>
                <c:pt idx="12">
                  <c:v>-1.9091250000201399E-2</c:v>
                </c:pt>
                <c:pt idx="13">
                  <c:v>1.9349499998497777E-2</c:v>
                </c:pt>
                <c:pt idx="14">
                  <c:v>-4.2250000115018338E-4</c:v>
                </c:pt>
                <c:pt idx="15">
                  <c:v>-1.5663124999264255E-2</c:v>
                </c:pt>
                <c:pt idx="16">
                  <c:v>-6.7497500058379956E-3</c:v>
                </c:pt>
                <c:pt idx="18">
                  <c:v>5.2502499966067262E-3</c:v>
                </c:pt>
                <c:pt idx="19">
                  <c:v>7.2502499970141798E-3</c:v>
                </c:pt>
                <c:pt idx="20">
                  <c:v>-2.5269500001741108E-2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90-4387-B86D-3886DB6F6D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22">
                    <c:v>3.0000000000000001E-3</c:v>
                  </c:pt>
                  <c:pt idx="23">
                    <c:v>0</c:v>
                  </c:pt>
                  <c:pt idx="24">
                    <c:v>1.9E-2</c:v>
                  </c:pt>
                  <c:pt idx="25">
                    <c:v>4.0000000000000001E-3</c:v>
                  </c:pt>
                  <c:pt idx="32">
                    <c:v>4.0000000000000001E-3</c:v>
                  </c:pt>
                  <c:pt idx="37">
                    <c:v>4.0000000000000001E-3</c:v>
                  </c:pt>
                  <c:pt idx="38">
                    <c:v>5.0000000000000001E-4</c:v>
                  </c:pt>
                  <c:pt idx="41">
                    <c:v>4.0000000000000001E-3</c:v>
                  </c:pt>
                  <c:pt idx="43">
                    <c:v>6.0000000000000001E-3</c:v>
                  </c:pt>
                  <c:pt idx="44">
                    <c:v>0</c:v>
                  </c:pt>
                  <c:pt idx="45">
                    <c:v>4.1000000000000003E-3</c:v>
                  </c:pt>
                  <c:pt idx="60">
                    <c:v>1.5E-3</c:v>
                  </c:pt>
                  <c:pt idx="66">
                    <c:v>1.2999999999999999E-3</c:v>
                  </c:pt>
                  <c:pt idx="67">
                    <c:v>8.0000000000000004E-4</c:v>
                  </c:pt>
                  <c:pt idx="68">
                    <c:v>3.3999999999999998E-3</c:v>
                  </c:pt>
                  <c:pt idx="69">
                    <c:v>2.5999999999999999E-3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22">
                    <c:v>3.0000000000000001E-3</c:v>
                  </c:pt>
                  <c:pt idx="23">
                    <c:v>0</c:v>
                  </c:pt>
                  <c:pt idx="24">
                    <c:v>1.9E-2</c:v>
                  </c:pt>
                  <c:pt idx="25">
                    <c:v>4.0000000000000001E-3</c:v>
                  </c:pt>
                  <c:pt idx="32">
                    <c:v>4.0000000000000001E-3</c:v>
                  </c:pt>
                  <c:pt idx="37">
                    <c:v>4.0000000000000001E-3</c:v>
                  </c:pt>
                  <c:pt idx="38">
                    <c:v>5.0000000000000001E-4</c:v>
                  </c:pt>
                  <c:pt idx="41">
                    <c:v>4.0000000000000001E-3</c:v>
                  </c:pt>
                  <c:pt idx="43">
                    <c:v>6.0000000000000001E-3</c:v>
                  </c:pt>
                  <c:pt idx="44">
                    <c:v>0</c:v>
                  </c:pt>
                  <c:pt idx="45">
                    <c:v>4.1000000000000003E-3</c:v>
                  </c:pt>
                  <c:pt idx="60">
                    <c:v>1.5E-3</c:v>
                  </c:pt>
                  <c:pt idx="66">
                    <c:v>1.2999999999999999E-3</c:v>
                  </c:pt>
                  <c:pt idx="67">
                    <c:v>8.0000000000000004E-4</c:v>
                  </c:pt>
                  <c:pt idx="68">
                    <c:v>3.3999999999999998E-3</c:v>
                  </c:pt>
                  <c:pt idx="6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-7436</c:v>
                </c:pt>
                <c:pt idx="1">
                  <c:v>-7413.5</c:v>
                </c:pt>
                <c:pt idx="2">
                  <c:v>-7380.5</c:v>
                </c:pt>
                <c:pt idx="3">
                  <c:v>-7007.5</c:v>
                </c:pt>
                <c:pt idx="4">
                  <c:v>-6944</c:v>
                </c:pt>
                <c:pt idx="5">
                  <c:v>-6746</c:v>
                </c:pt>
                <c:pt idx="6">
                  <c:v>-6502.5</c:v>
                </c:pt>
                <c:pt idx="7">
                  <c:v>-6421.5</c:v>
                </c:pt>
                <c:pt idx="8">
                  <c:v>-6079</c:v>
                </c:pt>
                <c:pt idx="9">
                  <c:v>-4593.5</c:v>
                </c:pt>
                <c:pt idx="10">
                  <c:v>-4571</c:v>
                </c:pt>
                <c:pt idx="11">
                  <c:v>-4422</c:v>
                </c:pt>
                <c:pt idx="12">
                  <c:v>-4341</c:v>
                </c:pt>
                <c:pt idx="13">
                  <c:v>-4255</c:v>
                </c:pt>
                <c:pt idx="14">
                  <c:v>-4174</c:v>
                </c:pt>
                <c:pt idx="15">
                  <c:v>-30</c:v>
                </c:pt>
                <c:pt idx="16">
                  <c:v>-17.5</c:v>
                </c:pt>
                <c:pt idx="17">
                  <c:v>-13</c:v>
                </c:pt>
                <c:pt idx="18">
                  <c:v>-13</c:v>
                </c:pt>
                <c:pt idx="19">
                  <c:v>-13</c:v>
                </c:pt>
                <c:pt idx="20">
                  <c:v>-13</c:v>
                </c:pt>
                <c:pt idx="21">
                  <c:v>14</c:v>
                </c:pt>
                <c:pt idx="22">
                  <c:v>175</c:v>
                </c:pt>
                <c:pt idx="23">
                  <c:v>0</c:v>
                </c:pt>
                <c:pt idx="24">
                  <c:v>17.5</c:v>
                </c:pt>
                <c:pt idx="25">
                  <c:v>54.5</c:v>
                </c:pt>
                <c:pt idx="26">
                  <c:v>62.5</c:v>
                </c:pt>
                <c:pt idx="27">
                  <c:v>99</c:v>
                </c:pt>
                <c:pt idx="28">
                  <c:v>140</c:v>
                </c:pt>
                <c:pt idx="29">
                  <c:v>148.5</c:v>
                </c:pt>
                <c:pt idx="30">
                  <c:v>152.5</c:v>
                </c:pt>
                <c:pt idx="31">
                  <c:v>153</c:v>
                </c:pt>
                <c:pt idx="32">
                  <c:v>153</c:v>
                </c:pt>
                <c:pt idx="33">
                  <c:v>153</c:v>
                </c:pt>
                <c:pt idx="34">
                  <c:v>179.5</c:v>
                </c:pt>
                <c:pt idx="35">
                  <c:v>256.5</c:v>
                </c:pt>
                <c:pt idx="36">
                  <c:v>265.5</c:v>
                </c:pt>
                <c:pt idx="37">
                  <c:v>279</c:v>
                </c:pt>
                <c:pt idx="38">
                  <c:v>283</c:v>
                </c:pt>
                <c:pt idx="39">
                  <c:v>328.5</c:v>
                </c:pt>
                <c:pt idx="40">
                  <c:v>337.5</c:v>
                </c:pt>
                <c:pt idx="41">
                  <c:v>364</c:v>
                </c:pt>
                <c:pt idx="42">
                  <c:v>431.5</c:v>
                </c:pt>
                <c:pt idx="43">
                  <c:v>512.5</c:v>
                </c:pt>
                <c:pt idx="44">
                  <c:v>1608</c:v>
                </c:pt>
                <c:pt idx="45">
                  <c:v>2234</c:v>
                </c:pt>
                <c:pt idx="46">
                  <c:v>-12.5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64.5</c:v>
                </c:pt>
                <c:pt idx="51">
                  <c:v>67</c:v>
                </c:pt>
                <c:pt idx="52">
                  <c:v>76.5</c:v>
                </c:pt>
                <c:pt idx="53">
                  <c:v>76.5</c:v>
                </c:pt>
                <c:pt idx="54">
                  <c:v>77.5</c:v>
                </c:pt>
                <c:pt idx="55">
                  <c:v>94</c:v>
                </c:pt>
                <c:pt idx="56">
                  <c:v>99</c:v>
                </c:pt>
                <c:pt idx="57">
                  <c:v>148.5</c:v>
                </c:pt>
                <c:pt idx="58">
                  <c:v>153</c:v>
                </c:pt>
                <c:pt idx="59">
                  <c:v>153</c:v>
                </c:pt>
                <c:pt idx="60">
                  <c:v>193.5</c:v>
                </c:pt>
                <c:pt idx="61">
                  <c:v>283</c:v>
                </c:pt>
                <c:pt idx="62">
                  <c:v>320</c:v>
                </c:pt>
                <c:pt idx="63">
                  <c:v>320</c:v>
                </c:pt>
                <c:pt idx="64">
                  <c:v>328.5</c:v>
                </c:pt>
                <c:pt idx="65">
                  <c:v>337.5</c:v>
                </c:pt>
                <c:pt idx="66">
                  <c:v>783.5</c:v>
                </c:pt>
                <c:pt idx="67">
                  <c:v>2067.5</c:v>
                </c:pt>
                <c:pt idx="68">
                  <c:v>2076.5</c:v>
                </c:pt>
                <c:pt idx="69">
                  <c:v>2148.5</c:v>
                </c:pt>
                <c:pt idx="70">
                  <c:v>72</c:v>
                </c:pt>
                <c:pt idx="71">
                  <c:v>148.5</c:v>
                </c:pt>
                <c:pt idx="72">
                  <c:v>179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2">
                  <c:v>9.6312499954365194E-3</c:v>
                </c:pt>
                <c:pt idx="24">
                  <c:v>-2.5336874998174608E-2</c:v>
                </c:pt>
                <c:pt idx="25">
                  <c:v>-9.049125001183711E-3</c:v>
                </c:pt>
                <c:pt idx="26">
                  <c:v>1.0796875001688022E-2</c:v>
                </c:pt>
                <c:pt idx="27">
                  <c:v>-9.0574999921955168E-4</c:v>
                </c:pt>
                <c:pt idx="28">
                  <c:v>3.3049999983632006E-3</c:v>
                </c:pt>
                <c:pt idx="29">
                  <c:v>-5.8586250015650876E-3</c:v>
                </c:pt>
                <c:pt idx="30">
                  <c:v>6.0643750039162114E-3</c:v>
                </c:pt>
                <c:pt idx="31">
                  <c:v>-7.9452500067418441E-3</c:v>
                </c:pt>
                <c:pt idx="32">
                  <c:v>-1.9452500055194832E-3</c:v>
                </c:pt>
                <c:pt idx="33">
                  <c:v>1.9054749995120801E-2</c:v>
                </c:pt>
                <c:pt idx="34">
                  <c:v>-7.4553750018822029E-3</c:v>
                </c:pt>
                <c:pt idx="35">
                  <c:v>-1.0937625003862195E-2</c:v>
                </c:pt>
                <c:pt idx="36">
                  <c:v>7.8891250013839453E-3</c:v>
                </c:pt>
                <c:pt idx="37">
                  <c:v>-3.3707499969750643E-3</c:v>
                </c:pt>
                <c:pt idx="38">
                  <c:v>-1.447750000806991E-3</c:v>
                </c:pt>
                <c:pt idx="39">
                  <c:v>-1.3236250015324913E-3</c:v>
                </c:pt>
                <c:pt idx="40">
                  <c:v>-4.9687499995343387E-4</c:v>
                </c:pt>
                <c:pt idx="41">
                  <c:v>1.9929999980377033E-3</c:v>
                </c:pt>
                <c:pt idx="42">
                  <c:v>1.2693625001702458E-2</c:v>
                </c:pt>
                <c:pt idx="43">
                  <c:v>3.1343750015366822E-3</c:v>
                </c:pt>
                <c:pt idx="44">
                  <c:v>-4.9539999963599257E-3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90-4387-B86D-3886DB6F6D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22">
                    <c:v>3.0000000000000001E-3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2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-7436</c:v>
                </c:pt>
                <c:pt idx="1">
                  <c:v>-7413.5</c:v>
                </c:pt>
                <c:pt idx="2">
                  <c:v>-7380.5</c:v>
                </c:pt>
                <c:pt idx="3">
                  <c:v>-7007.5</c:v>
                </c:pt>
                <c:pt idx="4">
                  <c:v>-6944</c:v>
                </c:pt>
                <c:pt idx="5">
                  <c:v>-6746</c:v>
                </c:pt>
                <c:pt idx="6">
                  <c:v>-6502.5</c:v>
                </c:pt>
                <c:pt idx="7">
                  <c:v>-6421.5</c:v>
                </c:pt>
                <c:pt idx="8">
                  <c:v>-6079</c:v>
                </c:pt>
                <c:pt idx="9">
                  <c:v>-4593.5</c:v>
                </c:pt>
                <c:pt idx="10">
                  <c:v>-4571</c:v>
                </c:pt>
                <c:pt idx="11">
                  <c:v>-4422</c:v>
                </c:pt>
                <c:pt idx="12">
                  <c:v>-4341</c:v>
                </c:pt>
                <c:pt idx="13">
                  <c:v>-4255</c:v>
                </c:pt>
                <c:pt idx="14">
                  <c:v>-4174</c:v>
                </c:pt>
                <c:pt idx="15">
                  <c:v>-30</c:v>
                </c:pt>
                <c:pt idx="16">
                  <c:v>-17.5</c:v>
                </c:pt>
                <c:pt idx="17">
                  <c:v>-13</c:v>
                </c:pt>
                <c:pt idx="18">
                  <c:v>-13</c:v>
                </c:pt>
                <c:pt idx="19">
                  <c:v>-13</c:v>
                </c:pt>
                <c:pt idx="20">
                  <c:v>-13</c:v>
                </c:pt>
                <c:pt idx="21">
                  <c:v>14</c:v>
                </c:pt>
                <c:pt idx="22">
                  <c:v>175</c:v>
                </c:pt>
                <c:pt idx="23">
                  <c:v>0</c:v>
                </c:pt>
                <c:pt idx="24">
                  <c:v>17.5</c:v>
                </c:pt>
                <c:pt idx="25">
                  <c:v>54.5</c:v>
                </c:pt>
                <c:pt idx="26">
                  <c:v>62.5</c:v>
                </c:pt>
                <c:pt idx="27">
                  <c:v>99</c:v>
                </c:pt>
                <c:pt idx="28">
                  <c:v>140</c:v>
                </c:pt>
                <c:pt idx="29">
                  <c:v>148.5</c:v>
                </c:pt>
                <c:pt idx="30">
                  <c:v>152.5</c:v>
                </c:pt>
                <c:pt idx="31">
                  <c:v>153</c:v>
                </c:pt>
                <c:pt idx="32">
                  <c:v>153</c:v>
                </c:pt>
                <c:pt idx="33">
                  <c:v>153</c:v>
                </c:pt>
                <c:pt idx="34">
                  <c:v>179.5</c:v>
                </c:pt>
                <c:pt idx="35">
                  <c:v>256.5</c:v>
                </c:pt>
                <c:pt idx="36">
                  <c:v>265.5</c:v>
                </c:pt>
                <c:pt idx="37">
                  <c:v>279</c:v>
                </c:pt>
                <c:pt idx="38">
                  <c:v>283</c:v>
                </c:pt>
                <c:pt idx="39">
                  <c:v>328.5</c:v>
                </c:pt>
                <c:pt idx="40">
                  <c:v>337.5</c:v>
                </c:pt>
                <c:pt idx="41">
                  <c:v>364</c:v>
                </c:pt>
                <c:pt idx="42">
                  <c:v>431.5</c:v>
                </c:pt>
                <c:pt idx="43">
                  <c:v>512.5</c:v>
                </c:pt>
                <c:pt idx="44">
                  <c:v>1608</c:v>
                </c:pt>
                <c:pt idx="45">
                  <c:v>2234</c:v>
                </c:pt>
                <c:pt idx="46">
                  <c:v>-12.5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64.5</c:v>
                </c:pt>
                <c:pt idx="51">
                  <c:v>67</c:v>
                </c:pt>
                <c:pt idx="52">
                  <c:v>76.5</c:v>
                </c:pt>
                <c:pt idx="53">
                  <c:v>76.5</c:v>
                </c:pt>
                <c:pt idx="54">
                  <c:v>77.5</c:v>
                </c:pt>
                <c:pt idx="55">
                  <c:v>94</c:v>
                </c:pt>
                <c:pt idx="56">
                  <c:v>99</c:v>
                </c:pt>
                <c:pt idx="57">
                  <c:v>148.5</c:v>
                </c:pt>
                <c:pt idx="58">
                  <c:v>153</c:v>
                </c:pt>
                <c:pt idx="59">
                  <c:v>153</c:v>
                </c:pt>
                <c:pt idx="60">
                  <c:v>193.5</c:v>
                </c:pt>
                <c:pt idx="61">
                  <c:v>283</c:v>
                </c:pt>
                <c:pt idx="62">
                  <c:v>320</c:v>
                </c:pt>
                <c:pt idx="63">
                  <c:v>320</c:v>
                </c:pt>
                <c:pt idx="64">
                  <c:v>328.5</c:v>
                </c:pt>
                <c:pt idx="65">
                  <c:v>337.5</c:v>
                </c:pt>
                <c:pt idx="66">
                  <c:v>783.5</c:v>
                </c:pt>
                <c:pt idx="67">
                  <c:v>2067.5</c:v>
                </c:pt>
                <c:pt idx="68">
                  <c:v>2076.5</c:v>
                </c:pt>
                <c:pt idx="69">
                  <c:v>2148.5</c:v>
                </c:pt>
                <c:pt idx="70">
                  <c:v>72</c:v>
                </c:pt>
                <c:pt idx="71">
                  <c:v>148.5</c:v>
                </c:pt>
                <c:pt idx="72">
                  <c:v>179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8">
                  <c:v>-1.349750004010275E-3</c:v>
                </c:pt>
                <c:pt idx="46">
                  <c:v>-1.8593749991850927E-3</c:v>
                </c:pt>
                <c:pt idx="47">
                  <c:v>-3.1694999997853301E-3</c:v>
                </c:pt>
                <c:pt idx="48">
                  <c:v>-4.6950000250944868E-4</c:v>
                </c:pt>
                <c:pt idx="49">
                  <c:v>-3.6950000503566116E-4</c:v>
                </c:pt>
                <c:pt idx="50">
                  <c:v>-4.416250012582168E-4</c:v>
                </c:pt>
                <c:pt idx="51">
                  <c:v>1.3010249997023493E-2</c:v>
                </c:pt>
                <c:pt idx="52">
                  <c:v>-6.7262499942444265E-4</c:v>
                </c:pt>
                <c:pt idx="53">
                  <c:v>-6.7262499942444265E-4</c:v>
                </c:pt>
                <c:pt idx="54">
                  <c:v>-9.1875001089647412E-5</c:v>
                </c:pt>
                <c:pt idx="55">
                  <c:v>-6.094999989727512E-4</c:v>
                </c:pt>
                <c:pt idx="56">
                  <c:v>-1.2057499989168718E-3</c:v>
                </c:pt>
                <c:pt idx="57">
                  <c:v>-3.5862500226357952E-4</c:v>
                </c:pt>
                <c:pt idx="58">
                  <c:v>-1.0452500064275227E-3</c:v>
                </c:pt>
                <c:pt idx="59">
                  <c:v>-1.0452500064275227E-3</c:v>
                </c:pt>
                <c:pt idx="60">
                  <c:v>5.3751249943161383E-3</c:v>
                </c:pt>
                <c:pt idx="61">
                  <c:v>-5.4775000171503052E-4</c:v>
                </c:pt>
                <c:pt idx="62">
                  <c:v>-1.4599999994970858E-3</c:v>
                </c:pt>
                <c:pt idx="63">
                  <c:v>-1.2599999972735532E-3</c:v>
                </c:pt>
                <c:pt idx="64">
                  <c:v>-1.1236250065849163E-3</c:v>
                </c:pt>
                <c:pt idx="65">
                  <c:v>-9.9687499459832907E-4</c:v>
                </c:pt>
                <c:pt idx="66">
                  <c:v>2.1762499818578362E-4</c:v>
                </c:pt>
                <c:pt idx="67">
                  <c:v>-3.3993750039371662E-3</c:v>
                </c:pt>
                <c:pt idx="68">
                  <c:v>-1.7262500477954745E-4</c:v>
                </c:pt>
                <c:pt idx="69">
                  <c:v>-1.8586250080261379E-3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90-4387-B86D-3886DB6F6D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2">
                    <c:v>3.0000000000000001E-3</c:v>
                  </c:pt>
                  <c:pt idx="23">
                    <c:v>0</c:v>
                  </c:pt>
                  <c:pt idx="24">
                    <c:v>1.9E-2</c:v>
                  </c:pt>
                  <c:pt idx="25">
                    <c:v>4.0000000000000001E-3</c:v>
                  </c:pt>
                  <c:pt idx="32">
                    <c:v>4.0000000000000001E-3</c:v>
                  </c:pt>
                  <c:pt idx="37">
                    <c:v>4.0000000000000001E-3</c:v>
                  </c:pt>
                  <c:pt idx="38">
                    <c:v>5.0000000000000001E-4</c:v>
                  </c:pt>
                  <c:pt idx="41">
                    <c:v>4.0000000000000001E-3</c:v>
                  </c:pt>
                  <c:pt idx="43">
                    <c:v>6.0000000000000001E-3</c:v>
                  </c:pt>
                  <c:pt idx="44">
                    <c:v>0</c:v>
                  </c:pt>
                  <c:pt idx="45">
                    <c:v>4.1000000000000003E-3</c:v>
                  </c:pt>
                  <c:pt idx="60">
                    <c:v>1.5E-3</c:v>
                  </c:pt>
                  <c:pt idx="66">
                    <c:v>1.2999999999999999E-3</c:v>
                  </c:pt>
                  <c:pt idx="67">
                    <c:v>8.0000000000000004E-4</c:v>
                  </c:pt>
                  <c:pt idx="68">
                    <c:v>3.3999999999999998E-3</c:v>
                  </c:pt>
                  <c:pt idx="69">
                    <c:v>2.5999999999999999E-3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2">
                    <c:v>3.0000000000000001E-3</c:v>
                  </c:pt>
                  <c:pt idx="23">
                    <c:v>0</c:v>
                  </c:pt>
                  <c:pt idx="24">
                    <c:v>1.9E-2</c:v>
                  </c:pt>
                  <c:pt idx="25">
                    <c:v>4.0000000000000001E-3</c:v>
                  </c:pt>
                  <c:pt idx="32">
                    <c:v>4.0000000000000001E-3</c:v>
                  </c:pt>
                  <c:pt idx="37">
                    <c:v>4.0000000000000001E-3</c:v>
                  </c:pt>
                  <c:pt idx="38">
                    <c:v>5.0000000000000001E-4</c:v>
                  </c:pt>
                  <c:pt idx="41">
                    <c:v>4.0000000000000001E-3</c:v>
                  </c:pt>
                  <c:pt idx="43">
                    <c:v>6.0000000000000001E-3</c:v>
                  </c:pt>
                  <c:pt idx="44">
                    <c:v>0</c:v>
                  </c:pt>
                  <c:pt idx="45">
                    <c:v>4.1000000000000003E-3</c:v>
                  </c:pt>
                  <c:pt idx="60">
                    <c:v>1.5E-3</c:v>
                  </c:pt>
                  <c:pt idx="66">
                    <c:v>1.2999999999999999E-3</c:v>
                  </c:pt>
                  <c:pt idx="67">
                    <c:v>8.0000000000000004E-4</c:v>
                  </c:pt>
                  <c:pt idx="68">
                    <c:v>3.3999999999999998E-3</c:v>
                  </c:pt>
                  <c:pt idx="6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-7436</c:v>
                </c:pt>
                <c:pt idx="1">
                  <c:v>-7413.5</c:v>
                </c:pt>
                <c:pt idx="2">
                  <c:v>-7380.5</c:v>
                </c:pt>
                <c:pt idx="3">
                  <c:v>-7007.5</c:v>
                </c:pt>
                <c:pt idx="4">
                  <c:v>-6944</c:v>
                </c:pt>
                <c:pt idx="5">
                  <c:v>-6746</c:v>
                </c:pt>
                <c:pt idx="6">
                  <c:v>-6502.5</c:v>
                </c:pt>
                <c:pt idx="7">
                  <c:v>-6421.5</c:v>
                </c:pt>
                <c:pt idx="8">
                  <c:v>-6079</c:v>
                </c:pt>
                <c:pt idx="9">
                  <c:v>-4593.5</c:v>
                </c:pt>
                <c:pt idx="10">
                  <c:v>-4571</c:v>
                </c:pt>
                <c:pt idx="11">
                  <c:v>-4422</c:v>
                </c:pt>
                <c:pt idx="12">
                  <c:v>-4341</c:v>
                </c:pt>
                <c:pt idx="13">
                  <c:v>-4255</c:v>
                </c:pt>
                <c:pt idx="14">
                  <c:v>-4174</c:v>
                </c:pt>
                <c:pt idx="15">
                  <c:v>-30</c:v>
                </c:pt>
                <c:pt idx="16">
                  <c:v>-17.5</c:v>
                </c:pt>
                <c:pt idx="17">
                  <c:v>-13</c:v>
                </c:pt>
                <c:pt idx="18">
                  <c:v>-13</c:v>
                </c:pt>
                <c:pt idx="19">
                  <c:v>-13</c:v>
                </c:pt>
                <c:pt idx="20">
                  <c:v>-13</c:v>
                </c:pt>
                <c:pt idx="21">
                  <c:v>14</c:v>
                </c:pt>
                <c:pt idx="22">
                  <c:v>175</c:v>
                </c:pt>
                <c:pt idx="23">
                  <c:v>0</c:v>
                </c:pt>
                <c:pt idx="24">
                  <c:v>17.5</c:v>
                </c:pt>
                <c:pt idx="25">
                  <c:v>54.5</c:v>
                </c:pt>
                <c:pt idx="26">
                  <c:v>62.5</c:v>
                </c:pt>
                <c:pt idx="27">
                  <c:v>99</c:v>
                </c:pt>
                <c:pt idx="28">
                  <c:v>140</c:v>
                </c:pt>
                <c:pt idx="29">
                  <c:v>148.5</c:v>
                </c:pt>
                <c:pt idx="30">
                  <c:v>152.5</c:v>
                </c:pt>
                <c:pt idx="31">
                  <c:v>153</c:v>
                </c:pt>
                <c:pt idx="32">
                  <c:v>153</c:v>
                </c:pt>
                <c:pt idx="33">
                  <c:v>153</c:v>
                </c:pt>
                <c:pt idx="34">
                  <c:v>179.5</c:v>
                </c:pt>
                <c:pt idx="35">
                  <c:v>256.5</c:v>
                </c:pt>
                <c:pt idx="36">
                  <c:v>265.5</c:v>
                </c:pt>
                <c:pt idx="37">
                  <c:v>279</c:v>
                </c:pt>
                <c:pt idx="38">
                  <c:v>283</c:v>
                </c:pt>
                <c:pt idx="39">
                  <c:v>328.5</c:v>
                </c:pt>
                <c:pt idx="40">
                  <c:v>337.5</c:v>
                </c:pt>
                <c:pt idx="41">
                  <c:v>364</c:v>
                </c:pt>
                <c:pt idx="42">
                  <c:v>431.5</c:v>
                </c:pt>
                <c:pt idx="43">
                  <c:v>512.5</c:v>
                </c:pt>
                <c:pt idx="44">
                  <c:v>1608</c:v>
                </c:pt>
                <c:pt idx="45">
                  <c:v>2234</c:v>
                </c:pt>
                <c:pt idx="46">
                  <c:v>-12.5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64.5</c:v>
                </c:pt>
                <c:pt idx="51">
                  <c:v>67</c:v>
                </c:pt>
                <c:pt idx="52">
                  <c:v>76.5</c:v>
                </c:pt>
                <c:pt idx="53">
                  <c:v>76.5</c:v>
                </c:pt>
                <c:pt idx="54">
                  <c:v>77.5</c:v>
                </c:pt>
                <c:pt idx="55">
                  <c:v>94</c:v>
                </c:pt>
                <c:pt idx="56">
                  <c:v>99</c:v>
                </c:pt>
                <c:pt idx="57">
                  <c:v>148.5</c:v>
                </c:pt>
                <c:pt idx="58">
                  <c:v>153</c:v>
                </c:pt>
                <c:pt idx="59">
                  <c:v>153</c:v>
                </c:pt>
                <c:pt idx="60">
                  <c:v>193.5</c:v>
                </c:pt>
                <c:pt idx="61">
                  <c:v>283</c:v>
                </c:pt>
                <c:pt idx="62">
                  <c:v>320</c:v>
                </c:pt>
                <c:pt idx="63">
                  <c:v>320</c:v>
                </c:pt>
                <c:pt idx="64">
                  <c:v>328.5</c:v>
                </c:pt>
                <c:pt idx="65">
                  <c:v>337.5</c:v>
                </c:pt>
                <c:pt idx="66">
                  <c:v>783.5</c:v>
                </c:pt>
                <c:pt idx="67">
                  <c:v>2067.5</c:v>
                </c:pt>
                <c:pt idx="68">
                  <c:v>2076.5</c:v>
                </c:pt>
                <c:pt idx="69">
                  <c:v>2148.5</c:v>
                </c:pt>
                <c:pt idx="70">
                  <c:v>72</c:v>
                </c:pt>
                <c:pt idx="71">
                  <c:v>148.5</c:v>
                </c:pt>
                <c:pt idx="72">
                  <c:v>179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5">
                  <c:v>-2.0044999982928857E-3</c:v>
                </c:pt>
                <c:pt idx="70">
                  <c:v>-3.0860000042594038E-3</c:v>
                </c:pt>
                <c:pt idx="71">
                  <c:v>2.4137499713106081E-4</c:v>
                </c:pt>
                <c:pt idx="72">
                  <c:v>-5.4457500009448268E-3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90-4387-B86D-3886DB6F6D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2">
                    <c:v>3.0000000000000001E-3</c:v>
                  </c:pt>
                  <c:pt idx="23">
                    <c:v>0</c:v>
                  </c:pt>
                  <c:pt idx="24">
                    <c:v>1.9E-2</c:v>
                  </c:pt>
                  <c:pt idx="25">
                    <c:v>4.0000000000000001E-3</c:v>
                  </c:pt>
                  <c:pt idx="32">
                    <c:v>4.0000000000000001E-3</c:v>
                  </c:pt>
                  <c:pt idx="37">
                    <c:v>4.0000000000000001E-3</c:v>
                  </c:pt>
                  <c:pt idx="38">
                    <c:v>5.0000000000000001E-4</c:v>
                  </c:pt>
                  <c:pt idx="41">
                    <c:v>4.0000000000000001E-3</c:v>
                  </c:pt>
                  <c:pt idx="43">
                    <c:v>6.0000000000000001E-3</c:v>
                  </c:pt>
                  <c:pt idx="44">
                    <c:v>0</c:v>
                  </c:pt>
                  <c:pt idx="45">
                    <c:v>4.1000000000000003E-3</c:v>
                  </c:pt>
                  <c:pt idx="60">
                    <c:v>1.5E-3</c:v>
                  </c:pt>
                  <c:pt idx="66">
                    <c:v>1.2999999999999999E-3</c:v>
                  </c:pt>
                  <c:pt idx="67">
                    <c:v>8.0000000000000004E-4</c:v>
                  </c:pt>
                  <c:pt idx="68">
                    <c:v>3.3999999999999998E-3</c:v>
                  </c:pt>
                  <c:pt idx="69">
                    <c:v>2.5999999999999999E-3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2">
                    <c:v>3.0000000000000001E-3</c:v>
                  </c:pt>
                  <c:pt idx="23">
                    <c:v>0</c:v>
                  </c:pt>
                  <c:pt idx="24">
                    <c:v>1.9E-2</c:v>
                  </c:pt>
                  <c:pt idx="25">
                    <c:v>4.0000000000000001E-3</c:v>
                  </c:pt>
                  <c:pt idx="32">
                    <c:v>4.0000000000000001E-3</c:v>
                  </c:pt>
                  <c:pt idx="37">
                    <c:v>4.0000000000000001E-3</c:v>
                  </c:pt>
                  <c:pt idx="38">
                    <c:v>5.0000000000000001E-4</c:v>
                  </c:pt>
                  <c:pt idx="41">
                    <c:v>4.0000000000000001E-3</c:v>
                  </c:pt>
                  <c:pt idx="43">
                    <c:v>6.0000000000000001E-3</c:v>
                  </c:pt>
                  <c:pt idx="44">
                    <c:v>0</c:v>
                  </c:pt>
                  <c:pt idx="45">
                    <c:v>4.1000000000000003E-3</c:v>
                  </c:pt>
                  <c:pt idx="60">
                    <c:v>1.5E-3</c:v>
                  </c:pt>
                  <c:pt idx="66">
                    <c:v>1.2999999999999999E-3</c:v>
                  </c:pt>
                  <c:pt idx="67">
                    <c:v>8.0000000000000004E-4</c:v>
                  </c:pt>
                  <c:pt idx="68">
                    <c:v>3.3999999999999998E-3</c:v>
                  </c:pt>
                  <c:pt idx="6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-7436</c:v>
                </c:pt>
                <c:pt idx="1">
                  <c:v>-7413.5</c:v>
                </c:pt>
                <c:pt idx="2">
                  <c:v>-7380.5</c:v>
                </c:pt>
                <c:pt idx="3">
                  <c:v>-7007.5</c:v>
                </c:pt>
                <c:pt idx="4">
                  <c:v>-6944</c:v>
                </c:pt>
                <c:pt idx="5">
                  <c:v>-6746</c:v>
                </c:pt>
                <c:pt idx="6">
                  <c:v>-6502.5</c:v>
                </c:pt>
                <c:pt idx="7">
                  <c:v>-6421.5</c:v>
                </c:pt>
                <c:pt idx="8">
                  <c:v>-6079</c:v>
                </c:pt>
                <c:pt idx="9">
                  <c:v>-4593.5</c:v>
                </c:pt>
                <c:pt idx="10">
                  <c:v>-4571</c:v>
                </c:pt>
                <c:pt idx="11">
                  <c:v>-4422</c:v>
                </c:pt>
                <c:pt idx="12">
                  <c:v>-4341</c:v>
                </c:pt>
                <c:pt idx="13">
                  <c:v>-4255</c:v>
                </c:pt>
                <c:pt idx="14">
                  <c:v>-4174</c:v>
                </c:pt>
                <c:pt idx="15">
                  <c:v>-30</c:v>
                </c:pt>
                <c:pt idx="16">
                  <c:v>-17.5</c:v>
                </c:pt>
                <c:pt idx="17">
                  <c:v>-13</c:v>
                </c:pt>
                <c:pt idx="18">
                  <c:v>-13</c:v>
                </c:pt>
                <c:pt idx="19">
                  <c:v>-13</c:v>
                </c:pt>
                <c:pt idx="20">
                  <c:v>-13</c:v>
                </c:pt>
                <c:pt idx="21">
                  <c:v>14</c:v>
                </c:pt>
                <c:pt idx="22">
                  <c:v>175</c:v>
                </c:pt>
                <c:pt idx="23">
                  <c:v>0</c:v>
                </c:pt>
                <c:pt idx="24">
                  <c:v>17.5</c:v>
                </c:pt>
                <c:pt idx="25">
                  <c:v>54.5</c:v>
                </c:pt>
                <c:pt idx="26">
                  <c:v>62.5</c:v>
                </c:pt>
                <c:pt idx="27">
                  <c:v>99</c:v>
                </c:pt>
                <c:pt idx="28">
                  <c:v>140</c:v>
                </c:pt>
                <c:pt idx="29">
                  <c:v>148.5</c:v>
                </c:pt>
                <c:pt idx="30">
                  <c:v>152.5</c:v>
                </c:pt>
                <c:pt idx="31">
                  <c:v>153</c:v>
                </c:pt>
                <c:pt idx="32">
                  <c:v>153</c:v>
                </c:pt>
                <c:pt idx="33">
                  <c:v>153</c:v>
                </c:pt>
                <c:pt idx="34">
                  <c:v>179.5</c:v>
                </c:pt>
                <c:pt idx="35">
                  <c:v>256.5</c:v>
                </c:pt>
                <c:pt idx="36">
                  <c:v>265.5</c:v>
                </c:pt>
                <c:pt idx="37">
                  <c:v>279</c:v>
                </c:pt>
                <c:pt idx="38">
                  <c:v>283</c:v>
                </c:pt>
                <c:pt idx="39">
                  <c:v>328.5</c:v>
                </c:pt>
                <c:pt idx="40">
                  <c:v>337.5</c:v>
                </c:pt>
                <c:pt idx="41">
                  <c:v>364</c:v>
                </c:pt>
                <c:pt idx="42">
                  <c:v>431.5</c:v>
                </c:pt>
                <c:pt idx="43">
                  <c:v>512.5</c:v>
                </c:pt>
                <c:pt idx="44">
                  <c:v>1608</c:v>
                </c:pt>
                <c:pt idx="45">
                  <c:v>2234</c:v>
                </c:pt>
                <c:pt idx="46">
                  <c:v>-12.5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64.5</c:v>
                </c:pt>
                <c:pt idx="51">
                  <c:v>67</c:v>
                </c:pt>
                <c:pt idx="52">
                  <c:v>76.5</c:v>
                </c:pt>
                <c:pt idx="53">
                  <c:v>76.5</c:v>
                </c:pt>
                <c:pt idx="54">
                  <c:v>77.5</c:v>
                </c:pt>
                <c:pt idx="55">
                  <c:v>94</c:v>
                </c:pt>
                <c:pt idx="56">
                  <c:v>99</c:v>
                </c:pt>
                <c:pt idx="57">
                  <c:v>148.5</c:v>
                </c:pt>
                <c:pt idx="58">
                  <c:v>153</c:v>
                </c:pt>
                <c:pt idx="59">
                  <c:v>153</c:v>
                </c:pt>
                <c:pt idx="60">
                  <c:v>193.5</c:v>
                </c:pt>
                <c:pt idx="61">
                  <c:v>283</c:v>
                </c:pt>
                <c:pt idx="62">
                  <c:v>320</c:v>
                </c:pt>
                <c:pt idx="63">
                  <c:v>320</c:v>
                </c:pt>
                <c:pt idx="64">
                  <c:v>328.5</c:v>
                </c:pt>
                <c:pt idx="65">
                  <c:v>337.5</c:v>
                </c:pt>
                <c:pt idx="66">
                  <c:v>783.5</c:v>
                </c:pt>
                <c:pt idx="67">
                  <c:v>2067.5</c:v>
                </c:pt>
                <c:pt idx="68">
                  <c:v>2076.5</c:v>
                </c:pt>
                <c:pt idx="69">
                  <c:v>2148.5</c:v>
                </c:pt>
                <c:pt idx="70">
                  <c:v>72</c:v>
                </c:pt>
                <c:pt idx="71">
                  <c:v>148.5</c:v>
                </c:pt>
                <c:pt idx="72">
                  <c:v>179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90-4387-B86D-3886DB6F6D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2">
                    <c:v>3.0000000000000001E-3</c:v>
                  </c:pt>
                  <c:pt idx="23">
                    <c:v>0</c:v>
                  </c:pt>
                  <c:pt idx="24">
                    <c:v>1.9E-2</c:v>
                  </c:pt>
                  <c:pt idx="25">
                    <c:v>4.0000000000000001E-3</c:v>
                  </c:pt>
                  <c:pt idx="32">
                    <c:v>4.0000000000000001E-3</c:v>
                  </c:pt>
                  <c:pt idx="37">
                    <c:v>4.0000000000000001E-3</c:v>
                  </c:pt>
                  <c:pt idx="38">
                    <c:v>5.0000000000000001E-4</c:v>
                  </c:pt>
                  <c:pt idx="41">
                    <c:v>4.0000000000000001E-3</c:v>
                  </c:pt>
                  <c:pt idx="43">
                    <c:v>6.0000000000000001E-3</c:v>
                  </c:pt>
                  <c:pt idx="44">
                    <c:v>0</c:v>
                  </c:pt>
                  <c:pt idx="45">
                    <c:v>4.1000000000000003E-3</c:v>
                  </c:pt>
                  <c:pt idx="60">
                    <c:v>1.5E-3</c:v>
                  </c:pt>
                  <c:pt idx="66">
                    <c:v>1.2999999999999999E-3</c:v>
                  </c:pt>
                  <c:pt idx="67">
                    <c:v>8.0000000000000004E-4</c:v>
                  </c:pt>
                  <c:pt idx="68">
                    <c:v>3.3999999999999998E-3</c:v>
                  </c:pt>
                  <c:pt idx="69">
                    <c:v>2.5999999999999999E-3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2">
                    <c:v>3.0000000000000001E-3</c:v>
                  </c:pt>
                  <c:pt idx="23">
                    <c:v>0</c:v>
                  </c:pt>
                  <c:pt idx="24">
                    <c:v>1.9E-2</c:v>
                  </c:pt>
                  <c:pt idx="25">
                    <c:v>4.0000000000000001E-3</c:v>
                  </c:pt>
                  <c:pt idx="32">
                    <c:v>4.0000000000000001E-3</c:v>
                  </c:pt>
                  <c:pt idx="37">
                    <c:v>4.0000000000000001E-3</c:v>
                  </c:pt>
                  <c:pt idx="38">
                    <c:v>5.0000000000000001E-4</c:v>
                  </c:pt>
                  <c:pt idx="41">
                    <c:v>4.0000000000000001E-3</c:v>
                  </c:pt>
                  <c:pt idx="43">
                    <c:v>6.0000000000000001E-3</c:v>
                  </c:pt>
                  <c:pt idx="44">
                    <c:v>0</c:v>
                  </c:pt>
                  <c:pt idx="45">
                    <c:v>4.1000000000000003E-3</c:v>
                  </c:pt>
                  <c:pt idx="60">
                    <c:v>1.5E-3</c:v>
                  </c:pt>
                  <c:pt idx="66">
                    <c:v>1.2999999999999999E-3</c:v>
                  </c:pt>
                  <c:pt idx="67">
                    <c:v>8.0000000000000004E-4</c:v>
                  </c:pt>
                  <c:pt idx="68">
                    <c:v>3.3999999999999998E-3</c:v>
                  </c:pt>
                  <c:pt idx="6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-7436</c:v>
                </c:pt>
                <c:pt idx="1">
                  <c:v>-7413.5</c:v>
                </c:pt>
                <c:pt idx="2">
                  <c:v>-7380.5</c:v>
                </c:pt>
                <c:pt idx="3">
                  <c:v>-7007.5</c:v>
                </c:pt>
                <c:pt idx="4">
                  <c:v>-6944</c:v>
                </c:pt>
                <c:pt idx="5">
                  <c:v>-6746</c:v>
                </c:pt>
                <c:pt idx="6">
                  <c:v>-6502.5</c:v>
                </c:pt>
                <c:pt idx="7">
                  <c:v>-6421.5</c:v>
                </c:pt>
                <c:pt idx="8">
                  <c:v>-6079</c:v>
                </c:pt>
                <c:pt idx="9">
                  <c:v>-4593.5</c:v>
                </c:pt>
                <c:pt idx="10">
                  <c:v>-4571</c:v>
                </c:pt>
                <c:pt idx="11">
                  <c:v>-4422</c:v>
                </c:pt>
                <c:pt idx="12">
                  <c:v>-4341</c:v>
                </c:pt>
                <c:pt idx="13">
                  <c:v>-4255</c:v>
                </c:pt>
                <c:pt idx="14">
                  <c:v>-4174</c:v>
                </c:pt>
                <c:pt idx="15">
                  <c:v>-30</c:v>
                </c:pt>
                <c:pt idx="16">
                  <c:v>-17.5</c:v>
                </c:pt>
                <c:pt idx="17">
                  <c:v>-13</c:v>
                </c:pt>
                <c:pt idx="18">
                  <c:v>-13</c:v>
                </c:pt>
                <c:pt idx="19">
                  <c:v>-13</c:v>
                </c:pt>
                <c:pt idx="20">
                  <c:v>-13</c:v>
                </c:pt>
                <c:pt idx="21">
                  <c:v>14</c:v>
                </c:pt>
                <c:pt idx="22">
                  <c:v>175</c:v>
                </c:pt>
                <c:pt idx="23">
                  <c:v>0</c:v>
                </c:pt>
                <c:pt idx="24">
                  <c:v>17.5</c:v>
                </c:pt>
                <c:pt idx="25">
                  <c:v>54.5</c:v>
                </c:pt>
                <c:pt idx="26">
                  <c:v>62.5</c:v>
                </c:pt>
                <c:pt idx="27">
                  <c:v>99</c:v>
                </c:pt>
                <c:pt idx="28">
                  <c:v>140</c:v>
                </c:pt>
                <c:pt idx="29">
                  <c:v>148.5</c:v>
                </c:pt>
                <c:pt idx="30">
                  <c:v>152.5</c:v>
                </c:pt>
                <c:pt idx="31">
                  <c:v>153</c:v>
                </c:pt>
                <c:pt idx="32">
                  <c:v>153</c:v>
                </c:pt>
                <c:pt idx="33">
                  <c:v>153</c:v>
                </c:pt>
                <c:pt idx="34">
                  <c:v>179.5</c:v>
                </c:pt>
                <c:pt idx="35">
                  <c:v>256.5</c:v>
                </c:pt>
                <c:pt idx="36">
                  <c:v>265.5</c:v>
                </c:pt>
                <c:pt idx="37">
                  <c:v>279</c:v>
                </c:pt>
                <c:pt idx="38">
                  <c:v>283</c:v>
                </c:pt>
                <c:pt idx="39">
                  <c:v>328.5</c:v>
                </c:pt>
                <c:pt idx="40">
                  <c:v>337.5</c:v>
                </c:pt>
                <c:pt idx="41">
                  <c:v>364</c:v>
                </c:pt>
                <c:pt idx="42">
                  <c:v>431.5</c:v>
                </c:pt>
                <c:pt idx="43">
                  <c:v>512.5</c:v>
                </c:pt>
                <c:pt idx="44">
                  <c:v>1608</c:v>
                </c:pt>
                <c:pt idx="45">
                  <c:v>2234</c:v>
                </c:pt>
                <c:pt idx="46">
                  <c:v>-12.5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64.5</c:v>
                </c:pt>
                <c:pt idx="51">
                  <c:v>67</c:v>
                </c:pt>
                <c:pt idx="52">
                  <c:v>76.5</c:v>
                </c:pt>
                <c:pt idx="53">
                  <c:v>76.5</c:v>
                </c:pt>
                <c:pt idx="54">
                  <c:v>77.5</c:v>
                </c:pt>
                <c:pt idx="55">
                  <c:v>94</c:v>
                </c:pt>
                <c:pt idx="56">
                  <c:v>99</c:v>
                </c:pt>
                <c:pt idx="57">
                  <c:v>148.5</c:v>
                </c:pt>
                <c:pt idx="58">
                  <c:v>153</c:v>
                </c:pt>
                <c:pt idx="59">
                  <c:v>153</c:v>
                </c:pt>
                <c:pt idx="60">
                  <c:v>193.5</c:v>
                </c:pt>
                <c:pt idx="61">
                  <c:v>283</c:v>
                </c:pt>
                <c:pt idx="62">
                  <c:v>320</c:v>
                </c:pt>
                <c:pt idx="63">
                  <c:v>320</c:v>
                </c:pt>
                <c:pt idx="64">
                  <c:v>328.5</c:v>
                </c:pt>
                <c:pt idx="65">
                  <c:v>337.5</c:v>
                </c:pt>
                <c:pt idx="66">
                  <c:v>783.5</c:v>
                </c:pt>
                <c:pt idx="67">
                  <c:v>2067.5</c:v>
                </c:pt>
                <c:pt idx="68">
                  <c:v>2076.5</c:v>
                </c:pt>
                <c:pt idx="69">
                  <c:v>2148.5</c:v>
                </c:pt>
                <c:pt idx="70">
                  <c:v>72</c:v>
                </c:pt>
                <c:pt idx="71">
                  <c:v>148.5</c:v>
                </c:pt>
                <c:pt idx="72">
                  <c:v>179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90-4387-B86D-3886DB6F6D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2">
                    <c:v>3.0000000000000001E-3</c:v>
                  </c:pt>
                  <c:pt idx="23">
                    <c:v>0</c:v>
                  </c:pt>
                  <c:pt idx="24">
                    <c:v>1.9E-2</c:v>
                  </c:pt>
                  <c:pt idx="25">
                    <c:v>4.0000000000000001E-3</c:v>
                  </c:pt>
                  <c:pt idx="32">
                    <c:v>4.0000000000000001E-3</c:v>
                  </c:pt>
                  <c:pt idx="37">
                    <c:v>4.0000000000000001E-3</c:v>
                  </c:pt>
                  <c:pt idx="38">
                    <c:v>5.0000000000000001E-4</c:v>
                  </c:pt>
                  <c:pt idx="41">
                    <c:v>4.0000000000000001E-3</c:v>
                  </c:pt>
                  <c:pt idx="43">
                    <c:v>6.0000000000000001E-3</c:v>
                  </c:pt>
                  <c:pt idx="44">
                    <c:v>0</c:v>
                  </c:pt>
                  <c:pt idx="45">
                    <c:v>4.1000000000000003E-3</c:v>
                  </c:pt>
                  <c:pt idx="60">
                    <c:v>1.5E-3</c:v>
                  </c:pt>
                  <c:pt idx="66">
                    <c:v>1.2999999999999999E-3</c:v>
                  </c:pt>
                  <c:pt idx="67">
                    <c:v>8.0000000000000004E-4</c:v>
                  </c:pt>
                  <c:pt idx="68">
                    <c:v>3.3999999999999998E-3</c:v>
                  </c:pt>
                  <c:pt idx="69">
                    <c:v>2.5999999999999999E-3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2">
                    <c:v>3.0000000000000001E-3</c:v>
                  </c:pt>
                  <c:pt idx="23">
                    <c:v>0</c:v>
                  </c:pt>
                  <c:pt idx="24">
                    <c:v>1.9E-2</c:v>
                  </c:pt>
                  <c:pt idx="25">
                    <c:v>4.0000000000000001E-3</c:v>
                  </c:pt>
                  <c:pt idx="32">
                    <c:v>4.0000000000000001E-3</c:v>
                  </c:pt>
                  <c:pt idx="37">
                    <c:v>4.0000000000000001E-3</c:v>
                  </c:pt>
                  <c:pt idx="38">
                    <c:v>5.0000000000000001E-4</c:v>
                  </c:pt>
                  <c:pt idx="41">
                    <c:v>4.0000000000000001E-3</c:v>
                  </c:pt>
                  <c:pt idx="43">
                    <c:v>6.0000000000000001E-3</c:v>
                  </c:pt>
                  <c:pt idx="44">
                    <c:v>0</c:v>
                  </c:pt>
                  <c:pt idx="45">
                    <c:v>4.1000000000000003E-3</c:v>
                  </c:pt>
                  <c:pt idx="60">
                    <c:v>1.5E-3</c:v>
                  </c:pt>
                  <c:pt idx="66">
                    <c:v>1.2999999999999999E-3</c:v>
                  </c:pt>
                  <c:pt idx="67">
                    <c:v>8.0000000000000004E-4</c:v>
                  </c:pt>
                  <c:pt idx="68">
                    <c:v>3.3999999999999998E-3</c:v>
                  </c:pt>
                  <c:pt idx="6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-7436</c:v>
                </c:pt>
                <c:pt idx="1">
                  <c:v>-7413.5</c:v>
                </c:pt>
                <c:pt idx="2">
                  <c:v>-7380.5</c:v>
                </c:pt>
                <c:pt idx="3">
                  <c:v>-7007.5</c:v>
                </c:pt>
                <c:pt idx="4">
                  <c:v>-6944</c:v>
                </c:pt>
                <c:pt idx="5">
                  <c:v>-6746</c:v>
                </c:pt>
                <c:pt idx="6">
                  <c:v>-6502.5</c:v>
                </c:pt>
                <c:pt idx="7">
                  <c:v>-6421.5</c:v>
                </c:pt>
                <c:pt idx="8">
                  <c:v>-6079</c:v>
                </c:pt>
                <c:pt idx="9">
                  <c:v>-4593.5</c:v>
                </c:pt>
                <c:pt idx="10">
                  <c:v>-4571</c:v>
                </c:pt>
                <c:pt idx="11">
                  <c:v>-4422</c:v>
                </c:pt>
                <c:pt idx="12">
                  <c:v>-4341</c:v>
                </c:pt>
                <c:pt idx="13">
                  <c:v>-4255</c:v>
                </c:pt>
                <c:pt idx="14">
                  <c:v>-4174</c:v>
                </c:pt>
                <c:pt idx="15">
                  <c:v>-30</c:v>
                </c:pt>
                <c:pt idx="16">
                  <c:v>-17.5</c:v>
                </c:pt>
                <c:pt idx="17">
                  <c:v>-13</c:v>
                </c:pt>
                <c:pt idx="18">
                  <c:v>-13</c:v>
                </c:pt>
                <c:pt idx="19">
                  <c:v>-13</c:v>
                </c:pt>
                <c:pt idx="20">
                  <c:v>-13</c:v>
                </c:pt>
                <c:pt idx="21">
                  <c:v>14</c:v>
                </c:pt>
                <c:pt idx="22">
                  <c:v>175</c:v>
                </c:pt>
                <c:pt idx="23">
                  <c:v>0</c:v>
                </c:pt>
                <c:pt idx="24">
                  <c:v>17.5</c:v>
                </c:pt>
                <c:pt idx="25">
                  <c:v>54.5</c:v>
                </c:pt>
                <c:pt idx="26">
                  <c:v>62.5</c:v>
                </c:pt>
                <c:pt idx="27">
                  <c:v>99</c:v>
                </c:pt>
                <c:pt idx="28">
                  <c:v>140</c:v>
                </c:pt>
                <c:pt idx="29">
                  <c:v>148.5</c:v>
                </c:pt>
                <c:pt idx="30">
                  <c:v>152.5</c:v>
                </c:pt>
                <c:pt idx="31">
                  <c:v>153</c:v>
                </c:pt>
                <c:pt idx="32">
                  <c:v>153</c:v>
                </c:pt>
                <c:pt idx="33">
                  <c:v>153</c:v>
                </c:pt>
                <c:pt idx="34">
                  <c:v>179.5</c:v>
                </c:pt>
                <c:pt idx="35">
                  <c:v>256.5</c:v>
                </c:pt>
                <c:pt idx="36">
                  <c:v>265.5</c:v>
                </c:pt>
                <c:pt idx="37">
                  <c:v>279</c:v>
                </c:pt>
                <c:pt idx="38">
                  <c:v>283</c:v>
                </c:pt>
                <c:pt idx="39">
                  <c:v>328.5</c:v>
                </c:pt>
                <c:pt idx="40">
                  <c:v>337.5</c:v>
                </c:pt>
                <c:pt idx="41">
                  <c:v>364</c:v>
                </c:pt>
                <c:pt idx="42">
                  <c:v>431.5</c:v>
                </c:pt>
                <c:pt idx="43">
                  <c:v>512.5</c:v>
                </c:pt>
                <c:pt idx="44">
                  <c:v>1608</c:v>
                </c:pt>
                <c:pt idx="45">
                  <c:v>2234</c:v>
                </c:pt>
                <c:pt idx="46">
                  <c:v>-12.5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64.5</c:v>
                </c:pt>
                <c:pt idx="51">
                  <c:v>67</c:v>
                </c:pt>
                <c:pt idx="52">
                  <c:v>76.5</c:v>
                </c:pt>
                <c:pt idx="53">
                  <c:v>76.5</c:v>
                </c:pt>
                <c:pt idx="54">
                  <c:v>77.5</c:v>
                </c:pt>
                <c:pt idx="55">
                  <c:v>94</c:v>
                </c:pt>
                <c:pt idx="56">
                  <c:v>99</c:v>
                </c:pt>
                <c:pt idx="57">
                  <c:v>148.5</c:v>
                </c:pt>
                <c:pt idx="58">
                  <c:v>153</c:v>
                </c:pt>
                <c:pt idx="59">
                  <c:v>153</c:v>
                </c:pt>
                <c:pt idx="60">
                  <c:v>193.5</c:v>
                </c:pt>
                <c:pt idx="61">
                  <c:v>283</c:v>
                </c:pt>
                <c:pt idx="62">
                  <c:v>320</c:v>
                </c:pt>
                <c:pt idx="63">
                  <c:v>320</c:v>
                </c:pt>
                <c:pt idx="64">
                  <c:v>328.5</c:v>
                </c:pt>
                <c:pt idx="65">
                  <c:v>337.5</c:v>
                </c:pt>
                <c:pt idx="66">
                  <c:v>783.5</c:v>
                </c:pt>
                <c:pt idx="67">
                  <c:v>2067.5</c:v>
                </c:pt>
                <c:pt idx="68">
                  <c:v>2076.5</c:v>
                </c:pt>
                <c:pt idx="69">
                  <c:v>2148.5</c:v>
                </c:pt>
                <c:pt idx="70">
                  <c:v>72</c:v>
                </c:pt>
                <c:pt idx="71">
                  <c:v>148.5</c:v>
                </c:pt>
                <c:pt idx="72">
                  <c:v>179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90-4387-B86D-3886DB6F6D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-7436</c:v>
                </c:pt>
                <c:pt idx="1">
                  <c:v>-7413.5</c:v>
                </c:pt>
                <c:pt idx="2">
                  <c:v>-7380.5</c:v>
                </c:pt>
                <c:pt idx="3">
                  <c:v>-7007.5</c:v>
                </c:pt>
                <c:pt idx="4">
                  <c:v>-6944</c:v>
                </c:pt>
                <c:pt idx="5">
                  <c:v>-6746</c:v>
                </c:pt>
                <c:pt idx="6">
                  <c:v>-6502.5</c:v>
                </c:pt>
                <c:pt idx="7">
                  <c:v>-6421.5</c:v>
                </c:pt>
                <c:pt idx="8">
                  <c:v>-6079</c:v>
                </c:pt>
                <c:pt idx="9">
                  <c:v>-4593.5</c:v>
                </c:pt>
                <c:pt idx="10">
                  <c:v>-4571</c:v>
                </c:pt>
                <c:pt idx="11">
                  <c:v>-4422</c:v>
                </c:pt>
                <c:pt idx="12">
                  <c:v>-4341</c:v>
                </c:pt>
                <c:pt idx="13">
                  <c:v>-4255</c:v>
                </c:pt>
                <c:pt idx="14">
                  <c:v>-4174</c:v>
                </c:pt>
                <c:pt idx="15">
                  <c:v>-30</c:v>
                </c:pt>
                <c:pt idx="16">
                  <c:v>-17.5</c:v>
                </c:pt>
                <c:pt idx="17">
                  <c:v>-13</c:v>
                </c:pt>
                <c:pt idx="18">
                  <c:v>-13</c:v>
                </c:pt>
                <c:pt idx="19">
                  <c:v>-13</c:v>
                </c:pt>
                <c:pt idx="20">
                  <c:v>-13</c:v>
                </c:pt>
                <c:pt idx="21">
                  <c:v>14</c:v>
                </c:pt>
                <c:pt idx="22">
                  <c:v>175</c:v>
                </c:pt>
                <c:pt idx="23">
                  <c:v>0</c:v>
                </c:pt>
                <c:pt idx="24">
                  <c:v>17.5</c:v>
                </c:pt>
                <c:pt idx="25">
                  <c:v>54.5</c:v>
                </c:pt>
                <c:pt idx="26">
                  <c:v>62.5</c:v>
                </c:pt>
                <c:pt idx="27">
                  <c:v>99</c:v>
                </c:pt>
                <c:pt idx="28">
                  <c:v>140</c:v>
                </c:pt>
                <c:pt idx="29">
                  <c:v>148.5</c:v>
                </c:pt>
                <c:pt idx="30">
                  <c:v>152.5</c:v>
                </c:pt>
                <c:pt idx="31">
                  <c:v>153</c:v>
                </c:pt>
                <c:pt idx="32">
                  <c:v>153</c:v>
                </c:pt>
                <c:pt idx="33">
                  <c:v>153</c:v>
                </c:pt>
                <c:pt idx="34">
                  <c:v>179.5</c:v>
                </c:pt>
                <c:pt idx="35">
                  <c:v>256.5</c:v>
                </c:pt>
                <c:pt idx="36">
                  <c:v>265.5</c:v>
                </c:pt>
                <c:pt idx="37">
                  <c:v>279</c:v>
                </c:pt>
                <c:pt idx="38">
                  <c:v>283</c:v>
                </c:pt>
                <c:pt idx="39">
                  <c:v>328.5</c:v>
                </c:pt>
                <c:pt idx="40">
                  <c:v>337.5</c:v>
                </c:pt>
                <c:pt idx="41">
                  <c:v>364</c:v>
                </c:pt>
                <c:pt idx="42">
                  <c:v>431.5</c:v>
                </c:pt>
                <c:pt idx="43">
                  <c:v>512.5</c:v>
                </c:pt>
                <c:pt idx="44">
                  <c:v>1608</c:v>
                </c:pt>
                <c:pt idx="45">
                  <c:v>2234</c:v>
                </c:pt>
                <c:pt idx="46">
                  <c:v>-12.5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64.5</c:v>
                </c:pt>
                <c:pt idx="51">
                  <c:v>67</c:v>
                </c:pt>
                <c:pt idx="52">
                  <c:v>76.5</c:v>
                </c:pt>
                <c:pt idx="53">
                  <c:v>76.5</c:v>
                </c:pt>
                <c:pt idx="54">
                  <c:v>77.5</c:v>
                </c:pt>
                <c:pt idx="55">
                  <c:v>94</c:v>
                </c:pt>
                <c:pt idx="56">
                  <c:v>99</c:v>
                </c:pt>
                <c:pt idx="57">
                  <c:v>148.5</c:v>
                </c:pt>
                <c:pt idx="58">
                  <c:v>153</c:v>
                </c:pt>
                <c:pt idx="59">
                  <c:v>153</c:v>
                </c:pt>
                <c:pt idx="60">
                  <c:v>193.5</c:v>
                </c:pt>
                <c:pt idx="61">
                  <c:v>283</c:v>
                </c:pt>
                <c:pt idx="62">
                  <c:v>320</c:v>
                </c:pt>
                <c:pt idx="63">
                  <c:v>320</c:v>
                </c:pt>
                <c:pt idx="64">
                  <c:v>328.5</c:v>
                </c:pt>
                <c:pt idx="65">
                  <c:v>337.5</c:v>
                </c:pt>
                <c:pt idx="66">
                  <c:v>783.5</c:v>
                </c:pt>
                <c:pt idx="67">
                  <c:v>2067.5</c:v>
                </c:pt>
                <c:pt idx="68">
                  <c:v>2076.5</c:v>
                </c:pt>
                <c:pt idx="69">
                  <c:v>2148.5</c:v>
                </c:pt>
                <c:pt idx="70">
                  <c:v>72</c:v>
                </c:pt>
                <c:pt idx="71">
                  <c:v>148.5</c:v>
                </c:pt>
                <c:pt idx="72">
                  <c:v>179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-7.3231652424773377E-4</c:v>
                </c:pt>
                <c:pt idx="1">
                  <c:v>-7.3199531946506024E-4</c:v>
                </c:pt>
                <c:pt idx="2">
                  <c:v>-7.3152421911713904E-4</c:v>
                </c:pt>
                <c:pt idx="3">
                  <c:v>-7.261993576088173E-4</c:v>
                </c:pt>
                <c:pt idx="4">
                  <c:v>-7.252928463332719E-4</c:v>
                </c:pt>
                <c:pt idx="5">
                  <c:v>-7.2246624424574467E-4</c:v>
                </c:pt>
                <c:pt idx="6">
                  <c:v>-7.1899009470881075E-4</c:v>
                </c:pt>
                <c:pt idx="7">
                  <c:v>-7.1783375749118596E-4</c:v>
                </c:pt>
                <c:pt idx="8">
                  <c:v>-7.1294430691048842E-4</c:v>
                </c:pt>
                <c:pt idx="9">
                  <c:v>-6.9173765336997422E-4</c:v>
                </c:pt>
                <c:pt idx="10">
                  <c:v>-6.9141644858730059E-4</c:v>
                </c:pt>
                <c:pt idx="11">
                  <c:v>-6.8928935913759569E-4</c:v>
                </c:pt>
                <c:pt idx="12">
                  <c:v>-6.8813302191997089E-4</c:v>
                </c:pt>
                <c:pt idx="13">
                  <c:v>-6.8690530586175197E-4</c:v>
                </c:pt>
                <c:pt idx="14">
                  <c:v>-6.8574896864412717E-4</c:v>
                </c:pt>
                <c:pt idx="15">
                  <c:v>-6.2659018555971701E-4</c:v>
                </c:pt>
                <c:pt idx="16">
                  <c:v>-6.2641173845823163E-4</c:v>
                </c:pt>
                <c:pt idx="17">
                  <c:v>-6.2634749750169693E-4</c:v>
                </c:pt>
                <c:pt idx="18">
                  <c:v>-6.2634749750169693E-4</c:v>
                </c:pt>
                <c:pt idx="19">
                  <c:v>-6.2634749750169693E-4</c:v>
                </c:pt>
                <c:pt idx="20">
                  <c:v>-6.2634749750169693E-4</c:v>
                </c:pt>
                <c:pt idx="21">
                  <c:v>-6.259620517624887E-4</c:v>
                </c:pt>
                <c:pt idx="22">
                  <c:v>-6.2366365309535785E-4</c:v>
                </c:pt>
                <c:pt idx="23">
                  <c:v>-6.2616191251615224E-4</c:v>
                </c:pt>
                <c:pt idx="24">
                  <c:v>-6.2591208657407284E-4</c:v>
                </c:pt>
                <c:pt idx="25">
                  <c:v>-6.2538388315367625E-4</c:v>
                </c:pt>
                <c:pt idx="26">
                  <c:v>-6.2526967700872568E-4</c:v>
                </c:pt>
                <c:pt idx="27">
                  <c:v>-6.2474861147238862E-4</c:v>
                </c:pt>
                <c:pt idx="28">
                  <c:v>-6.2416330497951675E-4</c:v>
                </c:pt>
                <c:pt idx="29">
                  <c:v>-6.2404196095050676E-4</c:v>
                </c:pt>
                <c:pt idx="30">
                  <c:v>-6.2398485787803148E-4</c:v>
                </c:pt>
                <c:pt idx="31">
                  <c:v>-6.2397771999397205E-4</c:v>
                </c:pt>
                <c:pt idx="32">
                  <c:v>-6.2397771999397205E-4</c:v>
                </c:pt>
                <c:pt idx="33">
                  <c:v>-6.2397771999397205E-4</c:v>
                </c:pt>
                <c:pt idx="34">
                  <c:v>-6.2359941213882314E-4</c:v>
                </c:pt>
                <c:pt idx="35">
                  <c:v>-6.2250017799367363E-4</c:v>
                </c:pt>
                <c:pt idx="36">
                  <c:v>-6.2237169608060422E-4</c:v>
                </c:pt>
                <c:pt idx="37">
                  <c:v>-6.221789732110001E-4</c:v>
                </c:pt>
                <c:pt idx="38">
                  <c:v>-6.2212187013852482E-4</c:v>
                </c:pt>
                <c:pt idx="39">
                  <c:v>-6.2147232268911824E-4</c:v>
                </c:pt>
                <c:pt idx="40">
                  <c:v>-6.2134384077604883E-4</c:v>
                </c:pt>
                <c:pt idx="41">
                  <c:v>-6.2096553292090002E-4</c:v>
                </c:pt>
                <c:pt idx="42">
                  <c:v>-6.2000191857287934E-4</c:v>
                </c:pt>
                <c:pt idx="43">
                  <c:v>-6.1884558135525455E-4</c:v>
                </c:pt>
                <c:pt idx="44">
                  <c:v>-6.0320647738108194E-4</c:v>
                </c:pt>
                <c:pt idx="45">
                  <c:v>-5.9426984653869756E-4</c:v>
                </c:pt>
                <c:pt idx="46">
                  <c:v>-6.263403596176375E-4</c:v>
                </c:pt>
                <c:pt idx="47">
                  <c:v>-6.259620517624887E-4</c:v>
                </c:pt>
                <c:pt idx="48">
                  <c:v>-6.259620517624887E-4</c:v>
                </c:pt>
                <c:pt idx="49">
                  <c:v>-6.259620517624887E-4</c:v>
                </c:pt>
                <c:pt idx="50">
                  <c:v>-6.2524112547248799E-4</c:v>
                </c:pt>
                <c:pt idx="51">
                  <c:v>-6.2520543605219098E-4</c:v>
                </c:pt>
                <c:pt idx="52">
                  <c:v>-6.2506981625506215E-4</c:v>
                </c:pt>
                <c:pt idx="53">
                  <c:v>-6.2506981625506215E-4</c:v>
                </c:pt>
                <c:pt idx="54">
                  <c:v>-6.250555404869433E-4</c:v>
                </c:pt>
                <c:pt idx="55">
                  <c:v>-6.2481999031298275E-4</c:v>
                </c:pt>
                <c:pt idx="56">
                  <c:v>-6.2474861147238862E-4</c:v>
                </c:pt>
                <c:pt idx="57">
                  <c:v>-6.2404196095050676E-4</c:v>
                </c:pt>
                <c:pt idx="58">
                  <c:v>-6.2397771999397205E-4</c:v>
                </c:pt>
                <c:pt idx="59">
                  <c:v>-6.2397771999397205E-4</c:v>
                </c:pt>
                <c:pt idx="60">
                  <c:v>-6.233995513851596E-4</c:v>
                </c:pt>
                <c:pt idx="61">
                  <c:v>-6.2212187013852482E-4</c:v>
                </c:pt>
                <c:pt idx="62">
                  <c:v>-6.2159366671812833E-4</c:v>
                </c:pt>
                <c:pt idx="63">
                  <c:v>-6.2159366671812833E-4</c:v>
                </c:pt>
                <c:pt idx="64">
                  <c:v>-6.2147232268911824E-4</c:v>
                </c:pt>
                <c:pt idx="65">
                  <c:v>-6.2134384077604883E-4</c:v>
                </c:pt>
                <c:pt idx="66">
                  <c:v>-6.1497684819505297E-4</c:v>
                </c:pt>
                <c:pt idx="67">
                  <c:v>-5.9664676193048186E-4</c:v>
                </c:pt>
                <c:pt idx="68">
                  <c:v>-5.9651828001741245E-4</c:v>
                </c:pt>
                <c:pt idx="69">
                  <c:v>-5.9549042471285707E-4</c:v>
                </c:pt>
                <c:pt idx="70">
                  <c:v>-6.2513405721159685E-4</c:v>
                </c:pt>
                <c:pt idx="71">
                  <c:v>-6.2404196095050676E-4</c:v>
                </c:pt>
                <c:pt idx="72">
                  <c:v>-6.2360655002288256E-4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90-4387-B86D-3886DB6F6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195808"/>
        <c:axId val="1"/>
      </c:scatterChart>
      <c:valAx>
        <c:axId val="928195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52112676056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873239436619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195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92957746478873"/>
          <c:y val="0.92024539877300615"/>
          <c:w val="0.5887323943661971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0</xdr:rowOff>
    </xdr:from>
    <xdr:to>
      <xdr:col>18</xdr:col>
      <xdr:colOff>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80E9E0-D001-AC00-BEF3-EFBCFAA6F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3442" TargetMode="External"/><Relationship Id="rId13" Type="http://schemas.openxmlformats.org/officeDocument/2006/relationships/hyperlink" Target="http://www.bav-astro.de/sfs/BAVM_link.php?BAVMnr=59" TargetMode="External"/><Relationship Id="rId18" Type="http://schemas.openxmlformats.org/officeDocument/2006/relationships/hyperlink" Target="http://www.bav-astro.de/sfs/BAVM_link.php?BAVMnr=59" TargetMode="External"/><Relationship Id="rId26" Type="http://schemas.openxmlformats.org/officeDocument/2006/relationships/hyperlink" Target="http://www.bav-astro.de/sfs/BAVM_link.php?BAVMnr=68" TargetMode="External"/><Relationship Id="rId3" Type="http://schemas.openxmlformats.org/officeDocument/2006/relationships/hyperlink" Target="http://www.konkoly.hu/cgi-bin/IBVS?3442" TargetMode="External"/><Relationship Id="rId21" Type="http://schemas.openxmlformats.org/officeDocument/2006/relationships/hyperlink" Target="http://www.bav-astro.de/sfs/BAVM_link.php?BAVMnr=60" TargetMode="External"/><Relationship Id="rId34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konkoly.hu/cgi-bin/IBVS?3479" TargetMode="External"/><Relationship Id="rId12" Type="http://schemas.openxmlformats.org/officeDocument/2006/relationships/hyperlink" Target="http://www.bav-astro.de/sfs/BAVM_link.php?BAVMnr=59" TargetMode="External"/><Relationship Id="rId17" Type="http://schemas.openxmlformats.org/officeDocument/2006/relationships/hyperlink" Target="http://www.bav-astro.de/sfs/BAVM_link.php?BAVMnr=59" TargetMode="External"/><Relationship Id="rId25" Type="http://schemas.openxmlformats.org/officeDocument/2006/relationships/hyperlink" Target="http://www.bav-astro.de/sfs/BAVM_link.php?BAVMnr=68" TargetMode="External"/><Relationship Id="rId33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3442" TargetMode="External"/><Relationship Id="rId16" Type="http://schemas.openxmlformats.org/officeDocument/2006/relationships/hyperlink" Target="http://www.bav-astro.de/sfs/BAVM_link.php?BAVMnr=59" TargetMode="External"/><Relationship Id="rId20" Type="http://schemas.openxmlformats.org/officeDocument/2006/relationships/hyperlink" Target="http://www.bav-astro.de/sfs/BAVM_link.php?BAVMnr=60" TargetMode="External"/><Relationship Id="rId29" Type="http://schemas.openxmlformats.org/officeDocument/2006/relationships/hyperlink" Target="http://www.bav-astro.de/sfs/BAVM_link.php?BAVMnr=79" TargetMode="External"/><Relationship Id="rId1" Type="http://schemas.openxmlformats.org/officeDocument/2006/relationships/hyperlink" Target="http://www.konkoly.hu/cgi-bin/IBVS?3442" TargetMode="External"/><Relationship Id="rId6" Type="http://schemas.openxmlformats.org/officeDocument/2006/relationships/hyperlink" Target="http://www.konkoly.hu/cgi-bin/IBVS?3442" TargetMode="External"/><Relationship Id="rId11" Type="http://schemas.openxmlformats.org/officeDocument/2006/relationships/hyperlink" Target="http://www.konkoly.hu/cgi-bin/IBVS?3442" TargetMode="External"/><Relationship Id="rId24" Type="http://schemas.openxmlformats.org/officeDocument/2006/relationships/hyperlink" Target="http://www.bav-astro.de/sfs/BAVM_link.php?BAVMnr=68" TargetMode="External"/><Relationship Id="rId32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konkoly.hu/cgi-bin/IBVS?3442" TargetMode="External"/><Relationship Id="rId15" Type="http://schemas.openxmlformats.org/officeDocument/2006/relationships/hyperlink" Target="http://www.bav-astro.de/sfs/BAVM_link.php?BAVMnr=59" TargetMode="External"/><Relationship Id="rId23" Type="http://schemas.openxmlformats.org/officeDocument/2006/relationships/hyperlink" Target="http://www.bav-astro.de/sfs/BAVM_link.php?BAVMnr=68" TargetMode="External"/><Relationship Id="rId28" Type="http://schemas.openxmlformats.org/officeDocument/2006/relationships/hyperlink" Target="http://www.bav-astro.de/sfs/BAVM_link.php?BAVMnr=68" TargetMode="External"/><Relationship Id="rId10" Type="http://schemas.openxmlformats.org/officeDocument/2006/relationships/hyperlink" Target="http://www.konkoly.hu/cgi-bin/IBVS?3479" TargetMode="External"/><Relationship Id="rId19" Type="http://schemas.openxmlformats.org/officeDocument/2006/relationships/hyperlink" Target="http://www.bav-astro.de/sfs/BAVM_link.php?BAVMnr=60" TargetMode="External"/><Relationship Id="rId31" Type="http://schemas.openxmlformats.org/officeDocument/2006/relationships/hyperlink" Target="http://www.bav-astro.de/sfs/BAVM_link.php?BAVMnr=204" TargetMode="External"/><Relationship Id="rId4" Type="http://schemas.openxmlformats.org/officeDocument/2006/relationships/hyperlink" Target="http://www.konkoly.hu/cgi-bin/IBVS?3442" TargetMode="External"/><Relationship Id="rId9" Type="http://schemas.openxmlformats.org/officeDocument/2006/relationships/hyperlink" Target="http://www.konkoly.hu/cgi-bin/IBVS?3442" TargetMode="External"/><Relationship Id="rId14" Type="http://schemas.openxmlformats.org/officeDocument/2006/relationships/hyperlink" Target="http://www.bav-astro.de/sfs/BAVM_link.php?BAVMnr=59" TargetMode="External"/><Relationship Id="rId22" Type="http://schemas.openxmlformats.org/officeDocument/2006/relationships/hyperlink" Target="http://www.bav-astro.de/sfs/BAVM_link.php?BAVMnr=60" TargetMode="External"/><Relationship Id="rId27" Type="http://schemas.openxmlformats.org/officeDocument/2006/relationships/hyperlink" Target="http://www.bav-astro.de/sfs/BAVM_link.php?BAVMnr=68" TargetMode="External"/><Relationship Id="rId30" Type="http://schemas.openxmlformats.org/officeDocument/2006/relationships/hyperlink" Target="http://www.bav-astro.de/sfs/BAVM_link.php?BAVMnr=1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64"/>
  <sheetViews>
    <sheetView tabSelected="1" workbookViewId="0">
      <pane xSplit="13" ySplit="22" topLeftCell="N77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20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61</v>
      </c>
    </row>
    <row r="2" spans="1:6" s="37" customFormat="1" ht="12.95" customHeight="1" x14ac:dyDescent="0.2">
      <c r="A2" s="37" t="s">
        <v>23</v>
      </c>
      <c r="B2" s="38" t="s">
        <v>52</v>
      </c>
      <c r="C2" s="37" t="s">
        <v>49</v>
      </c>
    </row>
    <row r="3" spans="1:6" s="37" customFormat="1" ht="12.95" customHeight="1" thickBot="1" x14ac:dyDescent="0.25">
      <c r="C3" s="37" t="s">
        <v>48</v>
      </c>
    </row>
    <row r="4" spans="1:6" s="37" customFormat="1" ht="12.95" customHeight="1" thickTop="1" thickBot="1" x14ac:dyDescent="0.25">
      <c r="A4" s="39" t="s">
        <v>0</v>
      </c>
      <c r="C4" s="40" t="s">
        <v>28</v>
      </c>
      <c r="D4" s="41" t="s">
        <v>28</v>
      </c>
    </row>
    <row r="5" spans="1:6" s="37" customFormat="1" ht="12.95" customHeight="1" thickTop="1" x14ac:dyDescent="0.2">
      <c r="A5" s="42" t="s">
        <v>57</v>
      </c>
      <c r="B5" s="43">
        <v>21</v>
      </c>
      <c r="C5" s="44" t="str">
        <f>"F"&amp;B5</f>
        <v>F21</v>
      </c>
      <c r="D5" s="45" t="str">
        <f>"G"&amp;B5</f>
        <v>G21</v>
      </c>
    </row>
    <row r="6" spans="1:6" s="37" customFormat="1" ht="12.95" customHeight="1" x14ac:dyDescent="0.2">
      <c r="A6" s="39" t="s">
        <v>1</v>
      </c>
    </row>
    <row r="7" spans="1:6" s="37" customFormat="1" ht="12.95" customHeight="1" x14ac:dyDescent="0.2">
      <c r="A7" s="37" t="s">
        <v>2</v>
      </c>
      <c r="C7" s="46">
        <v>47863.487000000001</v>
      </c>
      <c r="D7" s="37" t="s">
        <v>27</v>
      </c>
    </row>
    <row r="8" spans="1:6" s="37" customFormat="1" ht="12.95" customHeight="1" x14ac:dyDescent="0.2">
      <c r="A8" s="37" t="s">
        <v>3</v>
      </c>
      <c r="C8" s="46">
        <v>4.2220192499999998</v>
      </c>
      <c r="D8" s="37" t="s">
        <v>50</v>
      </c>
    </row>
    <row r="9" spans="1:6" s="37" customFormat="1" ht="12.95" customHeight="1" x14ac:dyDescent="0.2">
      <c r="A9" s="46" t="s">
        <v>310</v>
      </c>
      <c r="B9" s="47"/>
      <c r="C9" s="48">
        <v>-9.5</v>
      </c>
    </row>
    <row r="10" spans="1:6" s="37" customFormat="1" ht="12.95" customHeight="1" thickBot="1" x14ac:dyDescent="0.25">
      <c r="C10" s="49" t="s">
        <v>19</v>
      </c>
      <c r="D10" s="49" t="s">
        <v>20</v>
      </c>
    </row>
    <row r="11" spans="1:6" s="37" customFormat="1" ht="12.95" customHeight="1" x14ac:dyDescent="0.2">
      <c r="A11" s="37" t="s">
        <v>15</v>
      </c>
      <c r="C11" s="45">
        <f ca="1">INTERCEPT(INDIRECT($D$5):G992,INDIRECT($C$5):F992)</f>
        <v>-6.2616191251615224E-4</v>
      </c>
      <c r="D11" s="50"/>
    </row>
    <row r="12" spans="1:6" s="37" customFormat="1" ht="12.95" customHeight="1" x14ac:dyDescent="0.2">
      <c r="A12" s="37" t="s">
        <v>16</v>
      </c>
      <c r="C12" s="45">
        <f ca="1">SLOPE(INDIRECT($D$5):G992,INDIRECT($C$5):F992)</f>
        <v>1.4275768118824844E-8</v>
      </c>
      <c r="D12" s="50"/>
    </row>
    <row r="13" spans="1:6" s="37" customFormat="1" ht="12.95" customHeight="1" x14ac:dyDescent="0.2">
      <c r="A13" s="37" t="s">
        <v>18</v>
      </c>
      <c r="C13" s="50" t="s">
        <v>13</v>
      </c>
    </row>
    <row r="14" spans="1:6" s="37" customFormat="1" ht="12.95" customHeight="1" x14ac:dyDescent="0.2">
      <c r="E14" s="47" t="s">
        <v>55</v>
      </c>
      <c r="F14" s="51">
        <v>1</v>
      </c>
    </row>
    <row r="15" spans="1:6" s="37" customFormat="1" ht="12.95" customHeight="1" x14ac:dyDescent="0.2">
      <c r="A15" s="46" t="s">
        <v>17</v>
      </c>
      <c r="C15" s="52">
        <f ca="1">(C7+C11)+(C8+C12)*INT(MAX(F21:F3533))</f>
        <v>57295.477410230153</v>
      </c>
      <c r="E15" s="47" t="s">
        <v>53</v>
      </c>
      <c r="F15" s="52">
        <f ca="1">NOW()+15018.5+$C$9/24</f>
        <v>60372.802361574075</v>
      </c>
    </row>
    <row r="16" spans="1:6" s="37" customFormat="1" ht="12.95" customHeight="1" x14ac:dyDescent="0.2">
      <c r="A16" s="39" t="s">
        <v>4</v>
      </c>
      <c r="C16" s="53">
        <f ca="1">+C8+C12</f>
        <v>4.2220192642757679</v>
      </c>
      <c r="E16" s="47" t="s">
        <v>56</v>
      </c>
      <c r="F16" s="45">
        <f ca="1">ROUND(2*(F15-$C$7)/$C$8,0)/2+F14</f>
        <v>2964</v>
      </c>
    </row>
    <row r="17" spans="1:17" s="37" customFormat="1" ht="12.95" customHeight="1" thickBot="1" x14ac:dyDescent="0.25">
      <c r="A17" s="47" t="s">
        <v>51</v>
      </c>
      <c r="C17" s="37">
        <f>COUNT(C21:C2191)</f>
        <v>73</v>
      </c>
      <c r="E17" s="47" t="s">
        <v>308</v>
      </c>
      <c r="F17" s="45">
        <f ca="1">ROUND(2*(F15-$C$15)/$C$16,0)/2+F14</f>
        <v>730</v>
      </c>
    </row>
    <row r="18" spans="1:17" s="37" customFormat="1" ht="12.95" customHeight="1" thickTop="1" thickBot="1" x14ac:dyDescent="0.25">
      <c r="A18" s="39" t="s">
        <v>5</v>
      </c>
      <c r="C18" s="54">
        <f ca="1">+C15</f>
        <v>57295.477410230153</v>
      </c>
      <c r="D18" s="55">
        <f ca="1">+C16</f>
        <v>4.2220192642757679</v>
      </c>
      <c r="E18" s="47" t="s">
        <v>54</v>
      </c>
      <c r="F18" s="56">
        <f ca="1">+$C$15+$C$16*F17-15018.5-$C$9/24</f>
        <v>45359.447306484799</v>
      </c>
    </row>
    <row r="19" spans="1:17" s="37" customFormat="1" ht="12.95" customHeight="1" thickTop="1" x14ac:dyDescent="0.2">
      <c r="F19" s="57" t="s">
        <v>309</v>
      </c>
    </row>
    <row r="20" spans="1:17" s="37" customFormat="1" ht="12.95" customHeight="1" thickBot="1" x14ac:dyDescent="0.25">
      <c r="A20" s="49" t="s">
        <v>6</v>
      </c>
      <c r="B20" s="49" t="s">
        <v>7</v>
      </c>
      <c r="C20" s="49" t="s">
        <v>8</v>
      </c>
      <c r="D20" s="49" t="s">
        <v>12</v>
      </c>
      <c r="E20" s="49" t="s">
        <v>9</v>
      </c>
      <c r="F20" s="49" t="s">
        <v>10</v>
      </c>
      <c r="G20" s="49" t="s">
        <v>11</v>
      </c>
      <c r="H20" s="58" t="s">
        <v>70</v>
      </c>
      <c r="I20" s="58" t="s">
        <v>59</v>
      </c>
      <c r="J20" s="58" t="s">
        <v>67</v>
      </c>
      <c r="K20" s="58" t="s">
        <v>65</v>
      </c>
      <c r="L20" s="58" t="s">
        <v>24</v>
      </c>
      <c r="M20" s="58" t="s">
        <v>25</v>
      </c>
      <c r="N20" s="58" t="s">
        <v>26</v>
      </c>
      <c r="O20" s="58" t="s">
        <v>22</v>
      </c>
      <c r="P20" s="59" t="s">
        <v>21</v>
      </c>
      <c r="Q20" s="49" t="s">
        <v>14</v>
      </c>
    </row>
    <row r="21" spans="1:17" s="37" customFormat="1" ht="12.95" customHeight="1" x14ac:dyDescent="0.2">
      <c r="A21" s="60" t="s">
        <v>79</v>
      </c>
      <c r="B21" s="61" t="s">
        <v>46</v>
      </c>
      <c r="C21" s="62">
        <v>16468.538</v>
      </c>
      <c r="D21" s="63"/>
      <c r="E21" s="37">
        <f t="shared" ref="E21:E41" si="0">+(C21-C$7)/C$8</f>
        <v>-7436.0032820788301</v>
      </c>
      <c r="F21" s="37">
        <f t="shared" ref="F21:F41" si="1">ROUND(2*E21,0)/2</f>
        <v>-7436</v>
      </c>
      <c r="G21" s="37">
        <f t="shared" ref="G21:G41" si="2">+C21-(C$7+F21*C$8)</f>
        <v>-1.3857000001735287E-2</v>
      </c>
      <c r="H21" s="37">
        <f>+G21</f>
        <v>-1.3857000001735287E-2</v>
      </c>
      <c r="O21" s="37">
        <f t="shared" ref="O21:O41" ca="1" si="3">+C$11+C$12*$F21</f>
        <v>-7.3231652424773377E-4</v>
      </c>
      <c r="Q21" s="64">
        <f t="shared" ref="Q21:Q41" si="4">+C21-15018.5</f>
        <v>1450.0380000000005</v>
      </c>
    </row>
    <row r="22" spans="1:17" s="37" customFormat="1" ht="12.95" customHeight="1" x14ac:dyDescent="0.2">
      <c r="A22" s="60" t="s">
        <v>79</v>
      </c>
      <c r="B22" s="61" t="s">
        <v>44</v>
      </c>
      <c r="C22" s="62">
        <v>16563.526000000002</v>
      </c>
      <c r="D22" s="63"/>
      <c r="E22" s="37">
        <f t="shared" si="0"/>
        <v>-7413.5050426404387</v>
      </c>
      <c r="F22" s="37">
        <f t="shared" si="1"/>
        <v>-7413.5</v>
      </c>
      <c r="G22" s="37">
        <f t="shared" si="2"/>
        <v>-2.1290125001542037E-2</v>
      </c>
      <c r="H22" s="37">
        <f t="shared" ref="H22:H32" si="5">+G22</f>
        <v>-2.1290125001542037E-2</v>
      </c>
      <c r="O22" s="37">
        <f t="shared" ca="1" si="3"/>
        <v>-7.3199531946506024E-4</v>
      </c>
      <c r="Q22" s="64">
        <f t="shared" si="4"/>
        <v>1545.0260000000017</v>
      </c>
    </row>
    <row r="23" spans="1:17" s="37" customFormat="1" ht="12.95" customHeight="1" x14ac:dyDescent="0.2">
      <c r="A23" s="60" t="s">
        <v>79</v>
      </c>
      <c r="B23" s="61" t="s">
        <v>44</v>
      </c>
      <c r="C23" s="62">
        <v>16702.838</v>
      </c>
      <c r="D23" s="63"/>
      <c r="E23" s="37">
        <f t="shared" si="0"/>
        <v>-7380.5085090504981</v>
      </c>
      <c r="F23" s="37">
        <f t="shared" si="1"/>
        <v>-7380.5</v>
      </c>
      <c r="G23" s="37">
        <f t="shared" si="2"/>
        <v>-3.5925375002989313E-2</v>
      </c>
      <c r="H23" s="37">
        <f t="shared" si="5"/>
        <v>-3.5925375002989313E-2</v>
      </c>
      <c r="O23" s="37">
        <f t="shared" ca="1" si="3"/>
        <v>-7.3152421911713904E-4</v>
      </c>
      <c r="Q23" s="64">
        <f t="shared" si="4"/>
        <v>1684.3379999999997</v>
      </c>
    </row>
    <row r="24" spans="1:17" s="37" customFormat="1" ht="12.95" customHeight="1" x14ac:dyDescent="0.2">
      <c r="A24" s="60" t="s">
        <v>79</v>
      </c>
      <c r="B24" s="61" t="s">
        <v>44</v>
      </c>
      <c r="C24" s="62">
        <v>18277.681</v>
      </c>
      <c r="D24" s="63"/>
      <c r="E24" s="37">
        <f t="shared" si="0"/>
        <v>-7007.501446138599</v>
      </c>
      <c r="F24" s="37">
        <f t="shared" si="1"/>
        <v>-7007.5</v>
      </c>
      <c r="G24" s="37">
        <f t="shared" si="2"/>
        <v>-6.1056250015099067E-3</v>
      </c>
      <c r="H24" s="37">
        <f t="shared" si="5"/>
        <v>-6.1056250015099067E-3</v>
      </c>
      <c r="O24" s="37">
        <f t="shared" ca="1" si="3"/>
        <v>-7.261993576088173E-4</v>
      </c>
      <c r="Q24" s="64">
        <f t="shared" si="4"/>
        <v>3259.1810000000005</v>
      </c>
    </row>
    <row r="25" spans="1:17" s="37" customFormat="1" ht="12.95" customHeight="1" x14ac:dyDescent="0.2">
      <c r="A25" s="60" t="s">
        <v>79</v>
      </c>
      <c r="B25" s="61" t="s">
        <v>46</v>
      </c>
      <c r="C25" s="62">
        <v>18545.821</v>
      </c>
      <c r="D25" s="63"/>
      <c r="E25" s="37">
        <f t="shared" si="0"/>
        <v>-6943.991550962256</v>
      </c>
      <c r="F25" s="37">
        <f t="shared" si="1"/>
        <v>-6944</v>
      </c>
      <c r="G25" s="37">
        <f t="shared" si="2"/>
        <v>3.5671999998157844E-2</v>
      </c>
      <c r="H25" s="37">
        <f t="shared" si="5"/>
        <v>3.5671999998157844E-2</v>
      </c>
      <c r="O25" s="37">
        <f t="shared" ca="1" si="3"/>
        <v>-7.252928463332719E-4</v>
      </c>
      <c r="Q25" s="64">
        <f t="shared" si="4"/>
        <v>3527.3209999999999</v>
      </c>
    </row>
    <row r="26" spans="1:17" s="37" customFormat="1" ht="12.95" customHeight="1" x14ac:dyDescent="0.2">
      <c r="A26" s="60" t="s">
        <v>79</v>
      </c>
      <c r="B26" s="61" t="s">
        <v>46</v>
      </c>
      <c r="C26" s="62">
        <v>19381.748</v>
      </c>
      <c r="D26" s="63"/>
      <c r="E26" s="37">
        <f t="shared" si="0"/>
        <v>-6745.9993224805885</v>
      </c>
      <c r="F26" s="37">
        <f t="shared" si="1"/>
        <v>-6746</v>
      </c>
      <c r="G26" s="37">
        <f t="shared" si="2"/>
        <v>2.8604999970411882E-3</v>
      </c>
      <c r="H26" s="37">
        <f t="shared" si="5"/>
        <v>2.8604999970411882E-3</v>
      </c>
      <c r="O26" s="37">
        <f t="shared" ca="1" si="3"/>
        <v>-7.2246624424574467E-4</v>
      </c>
      <c r="Q26" s="64">
        <f t="shared" si="4"/>
        <v>4363.2479999999996</v>
      </c>
    </row>
    <row r="27" spans="1:17" s="37" customFormat="1" ht="12.95" customHeight="1" x14ac:dyDescent="0.2">
      <c r="A27" s="60" t="s">
        <v>79</v>
      </c>
      <c r="B27" s="61" t="s">
        <v>44</v>
      </c>
      <c r="C27" s="62">
        <v>20409.848999999998</v>
      </c>
      <c r="D27" s="63"/>
      <c r="E27" s="37">
        <f t="shared" si="0"/>
        <v>-6502.4900111481029</v>
      </c>
      <c r="F27" s="37">
        <f t="shared" si="1"/>
        <v>-6502.5</v>
      </c>
      <c r="G27" s="37">
        <f t="shared" si="2"/>
        <v>4.2173124995315447E-2</v>
      </c>
      <c r="H27" s="37">
        <f t="shared" si="5"/>
        <v>4.2173124995315447E-2</v>
      </c>
      <c r="O27" s="37">
        <f t="shared" ca="1" si="3"/>
        <v>-7.1899009470881075E-4</v>
      </c>
      <c r="Q27" s="64">
        <f t="shared" si="4"/>
        <v>5391.3489999999983</v>
      </c>
    </row>
    <row r="28" spans="1:17" s="37" customFormat="1" ht="12.95" customHeight="1" x14ac:dyDescent="0.2">
      <c r="A28" s="60" t="s">
        <v>79</v>
      </c>
      <c r="B28" s="61" t="s">
        <v>44</v>
      </c>
      <c r="C28" s="62">
        <v>20751.811000000002</v>
      </c>
      <c r="D28" s="63"/>
      <c r="E28" s="37">
        <f t="shared" si="0"/>
        <v>-6421.4951175317356</v>
      </c>
      <c r="F28" s="37">
        <f t="shared" si="1"/>
        <v>-6421.5</v>
      </c>
      <c r="G28" s="37">
        <f t="shared" si="2"/>
        <v>2.0613874999980908E-2</v>
      </c>
      <c r="H28" s="37">
        <f t="shared" si="5"/>
        <v>2.0613874999980908E-2</v>
      </c>
      <c r="O28" s="37">
        <f t="shared" ca="1" si="3"/>
        <v>-7.1783375749118596E-4</v>
      </c>
      <c r="Q28" s="64">
        <f t="shared" si="4"/>
        <v>5733.3110000000015</v>
      </c>
    </row>
    <row r="29" spans="1:17" s="37" customFormat="1" ht="12.95" customHeight="1" x14ac:dyDescent="0.2">
      <c r="A29" s="60" t="s">
        <v>79</v>
      </c>
      <c r="B29" s="61" t="s">
        <v>46</v>
      </c>
      <c r="C29" s="62">
        <v>22197.831999999999</v>
      </c>
      <c r="D29" s="63"/>
      <c r="E29" s="37">
        <f t="shared" si="0"/>
        <v>-6078.9999950852907</v>
      </c>
      <c r="F29" s="37">
        <f t="shared" si="1"/>
        <v>-6079</v>
      </c>
      <c r="G29" s="37">
        <f t="shared" si="2"/>
        <v>2.0749997929669917E-5</v>
      </c>
      <c r="H29" s="37">
        <f t="shared" si="5"/>
        <v>2.0749997929669917E-5</v>
      </c>
      <c r="O29" s="37">
        <f t="shared" ca="1" si="3"/>
        <v>-7.1294430691048842E-4</v>
      </c>
      <c r="Q29" s="64">
        <f t="shared" si="4"/>
        <v>7179.3319999999985</v>
      </c>
    </row>
    <row r="30" spans="1:17" s="37" customFormat="1" ht="12.95" customHeight="1" x14ac:dyDescent="0.2">
      <c r="A30" s="60" t="s">
        <v>79</v>
      </c>
      <c r="B30" s="61" t="s">
        <v>44</v>
      </c>
      <c r="C30" s="62">
        <v>28469.632000000001</v>
      </c>
      <c r="D30" s="63"/>
      <c r="E30" s="37">
        <f t="shared" si="0"/>
        <v>-4593.5022679017866</v>
      </c>
      <c r="F30" s="37">
        <f t="shared" si="1"/>
        <v>-4593.5</v>
      </c>
      <c r="G30" s="37">
        <f t="shared" si="2"/>
        <v>-9.575125000992557E-3</v>
      </c>
      <c r="H30" s="37">
        <f t="shared" si="5"/>
        <v>-9.575125000992557E-3</v>
      </c>
      <c r="O30" s="37">
        <f t="shared" ca="1" si="3"/>
        <v>-6.9173765336997422E-4</v>
      </c>
      <c r="Q30" s="64">
        <f t="shared" si="4"/>
        <v>13451.132000000001</v>
      </c>
    </row>
    <row r="31" spans="1:17" s="37" customFormat="1" ht="12.95" customHeight="1" x14ac:dyDescent="0.2">
      <c r="A31" s="60" t="s">
        <v>79</v>
      </c>
      <c r="B31" s="61" t="s">
        <v>46</v>
      </c>
      <c r="C31" s="62">
        <v>28564.61</v>
      </c>
      <c r="D31" s="63"/>
      <c r="E31" s="37">
        <f t="shared" si="0"/>
        <v>-4571.0063969983084</v>
      </c>
      <c r="F31" s="37">
        <f t="shared" si="1"/>
        <v>-4571</v>
      </c>
      <c r="G31" s="37">
        <f t="shared" si="2"/>
        <v>-2.7008250002836576E-2</v>
      </c>
      <c r="H31" s="37">
        <f t="shared" si="5"/>
        <v>-2.7008250002836576E-2</v>
      </c>
      <c r="O31" s="37">
        <f t="shared" ca="1" si="3"/>
        <v>-6.9141644858730059E-4</v>
      </c>
      <c r="Q31" s="64">
        <f t="shared" si="4"/>
        <v>13546.11</v>
      </c>
    </row>
    <row r="32" spans="1:17" s="37" customFormat="1" ht="12.95" customHeight="1" x14ac:dyDescent="0.2">
      <c r="A32" s="60" t="s">
        <v>79</v>
      </c>
      <c r="B32" s="61" t="s">
        <v>46</v>
      </c>
      <c r="C32" s="62">
        <v>29193.705000000002</v>
      </c>
      <c r="D32" s="63"/>
      <c r="E32" s="37">
        <f t="shared" si="0"/>
        <v>-4422.0030498439819</v>
      </c>
      <c r="F32" s="37">
        <f t="shared" si="1"/>
        <v>-4422</v>
      </c>
      <c r="G32" s="37">
        <f t="shared" si="2"/>
        <v>-1.287650000085705E-2</v>
      </c>
      <c r="H32" s="37">
        <f t="shared" si="5"/>
        <v>-1.287650000085705E-2</v>
      </c>
      <c r="O32" s="37">
        <f t="shared" ca="1" si="3"/>
        <v>-6.8928935913759569E-4</v>
      </c>
      <c r="Q32" s="64">
        <f t="shared" si="4"/>
        <v>14175.205000000002</v>
      </c>
    </row>
    <row r="33" spans="1:31" s="37" customFormat="1" ht="12.95" customHeight="1" x14ac:dyDescent="0.2">
      <c r="A33" s="60" t="s">
        <v>306</v>
      </c>
      <c r="B33" s="61" t="s">
        <v>46</v>
      </c>
      <c r="C33" s="62">
        <v>29535.713</v>
      </c>
      <c r="D33" s="63"/>
      <c r="E33" s="37">
        <f t="shared" si="0"/>
        <v>-4340.9972609670131</v>
      </c>
      <c r="F33" s="37">
        <f t="shared" si="1"/>
        <v>-4341</v>
      </c>
      <c r="G33" s="37">
        <f t="shared" si="2"/>
        <v>1.1564249998627929E-2</v>
      </c>
      <c r="H33" s="37">
        <f t="shared" ref="H33:H38" si="6">+G33</f>
        <v>1.1564249998627929E-2</v>
      </c>
      <c r="O33" s="37">
        <f t="shared" ca="1" si="3"/>
        <v>-6.8813302191997089E-4</v>
      </c>
      <c r="Q33" s="64">
        <f t="shared" si="4"/>
        <v>14517.213</v>
      </c>
      <c r="R33" s="37" t="s">
        <v>70</v>
      </c>
    </row>
    <row r="34" spans="1:31" s="37" customFormat="1" ht="12.95" customHeight="1" x14ac:dyDescent="0.2">
      <c r="A34" s="60" t="s">
        <v>306</v>
      </c>
      <c r="B34" s="61" t="s">
        <v>46</v>
      </c>
      <c r="C34" s="62">
        <v>29898.776000000002</v>
      </c>
      <c r="D34" s="63"/>
      <c r="E34" s="37">
        <f t="shared" si="0"/>
        <v>-4255.0045218292171</v>
      </c>
      <c r="F34" s="37">
        <f t="shared" si="1"/>
        <v>-4255</v>
      </c>
      <c r="G34" s="37">
        <f t="shared" si="2"/>
        <v>-1.9091250000201399E-2</v>
      </c>
      <c r="H34" s="37">
        <f t="shared" si="6"/>
        <v>-1.9091250000201399E-2</v>
      </c>
      <c r="O34" s="37">
        <f t="shared" ca="1" si="3"/>
        <v>-6.8690530586175197E-4</v>
      </c>
      <c r="Q34" s="64">
        <f t="shared" si="4"/>
        <v>14880.276000000002</v>
      </c>
    </row>
    <row r="35" spans="1:31" s="37" customFormat="1" ht="12.95" customHeight="1" x14ac:dyDescent="0.2">
      <c r="A35" s="60" t="s">
        <v>306</v>
      </c>
      <c r="B35" s="61" t="s">
        <v>46</v>
      </c>
      <c r="C35" s="62">
        <v>30240.797999999999</v>
      </c>
      <c r="D35" s="63"/>
      <c r="E35" s="37">
        <f t="shared" si="0"/>
        <v>-4173.9954170033698</v>
      </c>
      <c r="F35" s="37">
        <f t="shared" si="1"/>
        <v>-4174</v>
      </c>
      <c r="G35" s="37">
        <f t="shared" si="2"/>
        <v>1.9349499998497777E-2</v>
      </c>
      <c r="H35" s="37">
        <f t="shared" si="6"/>
        <v>1.9349499998497777E-2</v>
      </c>
      <c r="O35" s="37">
        <f t="shared" ca="1" si="3"/>
        <v>-6.8574896864412717E-4</v>
      </c>
      <c r="Q35" s="64">
        <f t="shared" si="4"/>
        <v>15222.297999999999</v>
      </c>
    </row>
    <row r="36" spans="1:31" s="37" customFormat="1" ht="12.95" customHeight="1" x14ac:dyDescent="0.2">
      <c r="A36" s="60" t="s">
        <v>306</v>
      </c>
      <c r="B36" s="61" t="s">
        <v>46</v>
      </c>
      <c r="C36" s="62">
        <v>47736.826000000001</v>
      </c>
      <c r="D36" s="63"/>
      <c r="E36" s="37">
        <f t="shared" si="0"/>
        <v>-30.000100070600119</v>
      </c>
      <c r="F36" s="37">
        <f t="shared" si="1"/>
        <v>-30</v>
      </c>
      <c r="G36" s="37">
        <f t="shared" si="2"/>
        <v>-4.2250000115018338E-4</v>
      </c>
      <c r="H36" s="37">
        <f t="shared" si="6"/>
        <v>-4.2250000115018338E-4</v>
      </c>
      <c r="O36" s="37">
        <f t="shared" ca="1" si="3"/>
        <v>-6.2659018555971701E-4</v>
      </c>
      <c r="Q36" s="64">
        <f t="shared" si="4"/>
        <v>32718.326000000001</v>
      </c>
    </row>
    <row r="37" spans="1:31" s="37" customFormat="1" ht="12.95" customHeight="1" x14ac:dyDescent="0.2">
      <c r="A37" s="60" t="s">
        <v>306</v>
      </c>
      <c r="B37" s="61" t="s">
        <v>44</v>
      </c>
      <c r="C37" s="62">
        <v>47789.586000000003</v>
      </c>
      <c r="D37" s="63"/>
      <c r="E37" s="37">
        <f t="shared" si="0"/>
        <v>-17.503709865841568</v>
      </c>
      <c r="F37" s="37">
        <f t="shared" si="1"/>
        <v>-17.5</v>
      </c>
      <c r="G37" s="37">
        <f t="shared" si="2"/>
        <v>-1.5663124999264255E-2</v>
      </c>
      <c r="H37" s="37">
        <f t="shared" si="6"/>
        <v>-1.5663124999264255E-2</v>
      </c>
      <c r="O37" s="37">
        <f t="shared" ca="1" si="3"/>
        <v>-6.2641173845823163E-4</v>
      </c>
      <c r="Q37" s="64">
        <f t="shared" si="4"/>
        <v>32771.086000000003</v>
      </c>
    </row>
    <row r="38" spans="1:31" x14ac:dyDescent="0.2">
      <c r="A38" s="31" t="s">
        <v>306</v>
      </c>
      <c r="B38" s="33" t="s">
        <v>46</v>
      </c>
      <c r="C38" s="32">
        <v>47808.593999999997</v>
      </c>
      <c r="D38" s="6"/>
      <c r="E38">
        <f t="shared" si="0"/>
        <v>-13.001598701854254</v>
      </c>
      <c r="F38">
        <f t="shared" si="1"/>
        <v>-13</v>
      </c>
      <c r="G38">
        <f t="shared" si="2"/>
        <v>-6.7497500058379956E-3</v>
      </c>
      <c r="H38">
        <f t="shared" si="6"/>
        <v>-6.7497500058379956E-3</v>
      </c>
      <c r="O38">
        <f t="shared" ca="1" si="3"/>
        <v>-6.2634749750169693E-4</v>
      </c>
      <c r="Q38" s="2">
        <f t="shared" si="4"/>
        <v>32790.093999999997</v>
      </c>
    </row>
    <row r="39" spans="1:31" x14ac:dyDescent="0.2">
      <c r="A39" s="8" t="s">
        <v>47</v>
      </c>
      <c r="B39" s="9" t="s">
        <v>46</v>
      </c>
      <c r="C39" s="10">
        <v>47808.599399999999</v>
      </c>
      <c r="D39" s="10"/>
      <c r="E39">
        <f t="shared" si="0"/>
        <v>-13.000319693000415</v>
      </c>
      <c r="F39">
        <f t="shared" si="1"/>
        <v>-13</v>
      </c>
      <c r="G39">
        <f t="shared" si="2"/>
        <v>-1.349750004010275E-3</v>
      </c>
      <c r="J39">
        <f>+G39</f>
        <v>-1.349750004010275E-3</v>
      </c>
      <c r="O39">
        <f t="shared" ca="1" si="3"/>
        <v>-6.2634749750169693E-4</v>
      </c>
      <c r="Q39" s="2">
        <f t="shared" si="4"/>
        <v>32790.099399999999</v>
      </c>
    </row>
    <row r="40" spans="1:31" x14ac:dyDescent="0.2">
      <c r="A40" s="31" t="s">
        <v>306</v>
      </c>
      <c r="B40" s="33" t="s">
        <v>46</v>
      </c>
      <c r="C40" s="32">
        <v>47808.606</v>
      </c>
      <c r="D40" s="6"/>
      <c r="E40">
        <f t="shared" si="0"/>
        <v>-12.998756459957217</v>
      </c>
      <c r="F40">
        <f t="shared" si="1"/>
        <v>-13</v>
      </c>
      <c r="G40">
        <f t="shared" si="2"/>
        <v>5.2502499966067262E-3</v>
      </c>
      <c r="H40">
        <f>+G40</f>
        <v>5.2502499966067262E-3</v>
      </c>
      <c r="O40">
        <f t="shared" ca="1" si="3"/>
        <v>-6.2634749750169693E-4</v>
      </c>
      <c r="Q40" s="2">
        <f t="shared" si="4"/>
        <v>32790.106</v>
      </c>
    </row>
    <row r="41" spans="1:31" x14ac:dyDescent="0.2">
      <c r="A41" s="31" t="s">
        <v>306</v>
      </c>
      <c r="B41" s="33" t="s">
        <v>46</v>
      </c>
      <c r="C41" s="32">
        <v>47808.608</v>
      </c>
      <c r="D41" s="6"/>
      <c r="E41">
        <f t="shared" si="0"/>
        <v>-12.998282752974378</v>
      </c>
      <c r="F41">
        <f t="shared" si="1"/>
        <v>-13</v>
      </c>
      <c r="G41">
        <f t="shared" si="2"/>
        <v>7.2502499970141798E-3</v>
      </c>
      <c r="H41">
        <f>+G41</f>
        <v>7.2502499970141798E-3</v>
      </c>
      <c r="O41">
        <f t="shared" ca="1" si="3"/>
        <v>-6.2634749750169693E-4</v>
      </c>
      <c r="Q41" s="2">
        <f t="shared" si="4"/>
        <v>32790.108</v>
      </c>
    </row>
    <row r="42" spans="1:31" x14ac:dyDescent="0.2">
      <c r="A42" s="31" t="s">
        <v>306</v>
      </c>
      <c r="B42" s="33" t="s">
        <v>46</v>
      </c>
      <c r="C42" s="32">
        <v>47922.57</v>
      </c>
      <c r="D42" s="6"/>
      <c r="E42">
        <f t="shared" ref="E42:E73" si="7">+(C42-C$7)/C$8</f>
        <v>13.994014830699486</v>
      </c>
      <c r="F42">
        <f t="shared" ref="F42:F73" si="8">ROUND(2*E42,0)/2</f>
        <v>14</v>
      </c>
      <c r="G42">
        <f>+C42-(C$7+F42*C$8)</f>
        <v>-2.5269500001741108E-2</v>
      </c>
      <c r="H42">
        <f>+G42</f>
        <v>-2.5269500001741108E-2</v>
      </c>
      <c r="O42">
        <f t="shared" ref="O42:O73" ca="1" si="9">+C$11+C$12*$F42</f>
        <v>-6.259620517624887E-4</v>
      </c>
      <c r="Q42" s="2">
        <f t="shared" ref="Q42:Q73" si="10">+C42-15018.5</f>
        <v>32904.07</v>
      </c>
    </row>
    <row r="43" spans="1:31" x14ac:dyDescent="0.2">
      <c r="A43" t="s">
        <v>35</v>
      </c>
      <c r="B43" s="3"/>
      <c r="C43" s="6">
        <v>48602.35</v>
      </c>
      <c r="D43" s="6">
        <v>3.0000000000000001E-3</v>
      </c>
      <c r="E43">
        <f t="shared" si="7"/>
        <v>175.0022811951882</v>
      </c>
      <c r="F43">
        <f t="shared" si="8"/>
        <v>175</v>
      </c>
      <c r="G43">
        <f>+C43-(C$7+F43*C$8)</f>
        <v>9.6312499954365194E-3</v>
      </c>
      <c r="I43">
        <f>+G43</f>
        <v>9.6312499954365194E-3</v>
      </c>
      <c r="O43">
        <f t="shared" ca="1" si="9"/>
        <v>-6.2366365309535785E-4</v>
      </c>
      <c r="Q43" s="2">
        <f t="shared" si="10"/>
        <v>33583.85</v>
      </c>
    </row>
    <row r="44" spans="1:31" x14ac:dyDescent="0.2">
      <c r="A44" t="s">
        <v>27</v>
      </c>
      <c r="C44" s="6">
        <v>47863.487000000001</v>
      </c>
      <c r="D44" s="6" t="s">
        <v>13</v>
      </c>
      <c r="E44">
        <f t="shared" si="7"/>
        <v>0</v>
      </c>
      <c r="F44">
        <f t="shared" si="8"/>
        <v>0</v>
      </c>
      <c r="G44">
        <f>+C44-(C$7+F44*C$8)</f>
        <v>0</v>
      </c>
      <c r="H44">
        <f>+G44</f>
        <v>0</v>
      </c>
      <c r="O44">
        <f t="shared" ca="1" si="9"/>
        <v>-6.2616191251615224E-4</v>
      </c>
      <c r="Q44" s="2">
        <f t="shared" si="10"/>
        <v>32844.987000000001</v>
      </c>
    </row>
    <row r="45" spans="1:31" x14ac:dyDescent="0.2">
      <c r="A45" t="s">
        <v>30</v>
      </c>
      <c r="B45" s="3" t="s">
        <v>44</v>
      </c>
      <c r="C45" s="6">
        <v>47937.347000000002</v>
      </c>
      <c r="D45" s="6">
        <v>1.9E-2</v>
      </c>
      <c r="E45">
        <f t="shared" si="7"/>
        <v>17.493998872695947</v>
      </c>
      <c r="F45">
        <f t="shared" si="8"/>
        <v>17.5</v>
      </c>
      <c r="I45" s="4">
        <v>-2.5336874998174608E-2</v>
      </c>
      <c r="O45">
        <f t="shared" ca="1" si="9"/>
        <v>-6.2591208657407284E-4</v>
      </c>
      <c r="Q45" s="2">
        <f t="shared" si="10"/>
        <v>32918.847000000002</v>
      </c>
    </row>
    <row r="46" spans="1:31" x14ac:dyDescent="0.2">
      <c r="A46" t="s">
        <v>30</v>
      </c>
      <c r="B46" s="3" t="s">
        <v>44</v>
      </c>
      <c r="C46" s="6">
        <v>48093.578000000001</v>
      </c>
      <c r="D46" s="6">
        <v>4.0000000000000001E-3</v>
      </c>
      <c r="E46">
        <f t="shared" si="7"/>
        <v>54.497856683149976</v>
      </c>
      <c r="F46">
        <f t="shared" si="8"/>
        <v>54.5</v>
      </c>
      <c r="G46">
        <f t="shared" ref="G46:G93" si="11">+C46-(C$7+F46*C$8)</f>
        <v>-9.049125001183711E-3</v>
      </c>
      <c r="I46">
        <f>+G46</f>
        <v>-9.049125001183711E-3</v>
      </c>
      <c r="O46">
        <f t="shared" ca="1" si="9"/>
        <v>-6.2538388315367625E-4</v>
      </c>
      <c r="Q46" s="2">
        <f t="shared" si="10"/>
        <v>33075.078000000001</v>
      </c>
    </row>
    <row r="47" spans="1:31" x14ac:dyDescent="0.2">
      <c r="A47" s="31" t="s">
        <v>158</v>
      </c>
      <c r="B47" s="33" t="s">
        <v>44</v>
      </c>
      <c r="C47" s="32">
        <v>48127.374000000003</v>
      </c>
      <c r="D47" s="6"/>
      <c r="E47">
        <f t="shared" si="7"/>
        <v>62.502557277540234</v>
      </c>
      <c r="F47">
        <f t="shared" si="8"/>
        <v>62.5</v>
      </c>
      <c r="G47">
        <f t="shared" si="11"/>
        <v>1.0796875001688022E-2</v>
      </c>
      <c r="I47">
        <f t="shared" ref="I47:I65" si="12">+G47</f>
        <v>1.0796875001688022E-2</v>
      </c>
      <c r="O47">
        <f t="shared" ca="1" si="9"/>
        <v>-6.2526967700872568E-4</v>
      </c>
      <c r="Q47" s="2">
        <f t="shared" si="10"/>
        <v>33108.874000000003</v>
      </c>
    </row>
    <row r="48" spans="1:31" x14ac:dyDescent="0.2">
      <c r="A48" s="31" t="s">
        <v>158</v>
      </c>
      <c r="B48" s="33" t="s">
        <v>46</v>
      </c>
      <c r="C48" s="32">
        <v>48281.466</v>
      </c>
      <c r="D48" s="6"/>
      <c r="E48">
        <f t="shared" si="7"/>
        <v>98.999785469950041</v>
      </c>
      <c r="F48">
        <f t="shared" si="8"/>
        <v>99</v>
      </c>
      <c r="G48">
        <f t="shared" si="11"/>
        <v>-9.0574999921955168E-4</v>
      </c>
      <c r="I48">
        <f t="shared" si="12"/>
        <v>-9.0574999921955168E-4</v>
      </c>
      <c r="O48">
        <f t="shared" ca="1" si="9"/>
        <v>-6.2474861147238862E-4</v>
      </c>
      <c r="Q48" s="2">
        <f t="shared" si="10"/>
        <v>33262.966</v>
      </c>
      <c r="AA48">
        <v>33</v>
      </c>
      <c r="AC48" t="s">
        <v>29</v>
      </c>
      <c r="AE48" t="s">
        <v>31</v>
      </c>
    </row>
    <row r="49" spans="1:31" x14ac:dyDescent="0.2">
      <c r="A49" t="s">
        <v>33</v>
      </c>
      <c r="B49" s="3"/>
      <c r="C49" s="6">
        <v>48454.572999999997</v>
      </c>
      <c r="D49" s="6"/>
      <c r="E49">
        <f t="shared" si="7"/>
        <v>140.00078280078796</v>
      </c>
      <c r="F49">
        <f t="shared" si="8"/>
        <v>140</v>
      </c>
      <c r="G49">
        <f t="shared" si="11"/>
        <v>3.3049999983632006E-3</v>
      </c>
      <c r="I49">
        <f t="shared" si="12"/>
        <v>3.3049999983632006E-3</v>
      </c>
      <c r="O49">
        <f t="shared" ca="1" si="9"/>
        <v>-6.2416330497951675E-4</v>
      </c>
      <c r="Q49" s="2">
        <f t="shared" si="10"/>
        <v>33436.072999999997</v>
      </c>
      <c r="AA49">
        <v>27</v>
      </c>
      <c r="AC49" t="s">
        <v>29</v>
      </c>
      <c r="AE49" t="s">
        <v>31</v>
      </c>
    </row>
    <row r="50" spans="1:31" x14ac:dyDescent="0.2">
      <c r="A50" t="s">
        <v>34</v>
      </c>
      <c r="B50" s="3" t="s">
        <v>44</v>
      </c>
      <c r="C50" s="6">
        <v>48490.451000000001</v>
      </c>
      <c r="D50" s="6"/>
      <c r="E50">
        <f t="shared" si="7"/>
        <v>148.4986123642141</v>
      </c>
      <c r="F50">
        <f t="shared" si="8"/>
        <v>148.5</v>
      </c>
      <c r="G50">
        <f t="shared" si="11"/>
        <v>-5.8586250015650876E-3</v>
      </c>
      <c r="I50">
        <f t="shared" si="12"/>
        <v>-5.8586250015650876E-3</v>
      </c>
      <c r="O50">
        <f t="shared" ca="1" si="9"/>
        <v>-6.2404196095050676E-4</v>
      </c>
      <c r="Q50" s="2">
        <f t="shared" si="10"/>
        <v>33471.951000000001</v>
      </c>
    </row>
    <row r="51" spans="1:31" x14ac:dyDescent="0.2">
      <c r="A51" t="s">
        <v>35</v>
      </c>
      <c r="B51" s="3" t="s">
        <v>44</v>
      </c>
      <c r="C51" s="6">
        <v>48507.351000000002</v>
      </c>
      <c r="D51" s="6"/>
      <c r="E51">
        <f t="shared" si="7"/>
        <v>152.50143636839206</v>
      </c>
      <c r="F51">
        <f t="shared" si="8"/>
        <v>152.5</v>
      </c>
      <c r="G51">
        <f t="shared" si="11"/>
        <v>6.0643750039162114E-3</v>
      </c>
      <c r="I51">
        <f t="shared" si="12"/>
        <v>6.0643750039162114E-3</v>
      </c>
      <c r="O51">
        <f t="shared" ca="1" si="9"/>
        <v>-6.2398485787803148E-4</v>
      </c>
      <c r="Q51" s="2">
        <f t="shared" si="10"/>
        <v>33488.851000000002</v>
      </c>
    </row>
    <row r="52" spans="1:31" x14ac:dyDescent="0.2">
      <c r="A52" t="s">
        <v>34</v>
      </c>
      <c r="B52" s="3"/>
      <c r="C52" s="6">
        <v>48509.447999999997</v>
      </c>
      <c r="D52" s="6"/>
      <c r="E52">
        <f t="shared" si="7"/>
        <v>152.99811813979667</v>
      </c>
      <c r="F52">
        <f t="shared" si="8"/>
        <v>153</v>
      </c>
      <c r="G52">
        <f t="shared" si="11"/>
        <v>-7.9452500067418441E-3</v>
      </c>
      <c r="I52">
        <f t="shared" si="12"/>
        <v>-7.9452500067418441E-3</v>
      </c>
      <c r="O52">
        <f t="shared" ca="1" si="9"/>
        <v>-6.2397771999397205E-4</v>
      </c>
      <c r="Q52" s="2">
        <f t="shared" si="10"/>
        <v>33490.947999999997</v>
      </c>
    </row>
    <row r="53" spans="1:31" x14ac:dyDescent="0.2">
      <c r="A53" t="s">
        <v>35</v>
      </c>
      <c r="B53" s="3"/>
      <c r="C53" s="6">
        <v>48509.453999999998</v>
      </c>
      <c r="D53" s="6">
        <v>4.0000000000000001E-3</v>
      </c>
      <c r="E53">
        <f t="shared" si="7"/>
        <v>152.99953926074519</v>
      </c>
      <c r="F53">
        <f t="shared" si="8"/>
        <v>153</v>
      </c>
      <c r="G53">
        <f t="shared" si="11"/>
        <v>-1.9452500055194832E-3</v>
      </c>
      <c r="I53">
        <f t="shared" si="12"/>
        <v>-1.9452500055194832E-3</v>
      </c>
      <c r="O53">
        <f t="shared" ca="1" si="9"/>
        <v>-6.2397771999397205E-4</v>
      </c>
      <c r="Q53" s="2">
        <f t="shared" si="10"/>
        <v>33490.953999999998</v>
      </c>
    </row>
    <row r="54" spans="1:31" x14ac:dyDescent="0.2">
      <c r="A54" s="31" t="s">
        <v>231</v>
      </c>
      <c r="B54" s="33" t="s">
        <v>46</v>
      </c>
      <c r="C54" s="32">
        <v>48509.474999999999</v>
      </c>
      <c r="D54" s="6"/>
      <c r="E54">
        <f t="shared" si="7"/>
        <v>153.00451318406414</v>
      </c>
      <c r="F54">
        <f t="shared" si="8"/>
        <v>153</v>
      </c>
      <c r="G54">
        <f t="shared" si="11"/>
        <v>1.9054749995120801E-2</v>
      </c>
      <c r="I54">
        <f t="shared" si="12"/>
        <v>1.9054749995120801E-2</v>
      </c>
      <c r="O54">
        <f t="shared" ca="1" si="9"/>
        <v>-6.2397771999397205E-4</v>
      </c>
      <c r="Q54" s="2">
        <f t="shared" si="10"/>
        <v>33490.974999999999</v>
      </c>
    </row>
    <row r="55" spans="1:31" x14ac:dyDescent="0.2">
      <c r="A55" t="s">
        <v>34</v>
      </c>
      <c r="B55" s="3" t="s">
        <v>44</v>
      </c>
      <c r="C55" s="6">
        <v>48621.332000000002</v>
      </c>
      <c r="D55" s="6"/>
      <c r="E55">
        <f t="shared" si="7"/>
        <v>179.49823416840206</v>
      </c>
      <c r="F55">
        <f t="shared" si="8"/>
        <v>179.5</v>
      </c>
      <c r="G55">
        <f t="shared" si="11"/>
        <v>-7.4553750018822029E-3</v>
      </c>
      <c r="I55">
        <f t="shared" si="12"/>
        <v>-7.4553750018822029E-3</v>
      </c>
      <c r="O55">
        <f t="shared" ca="1" si="9"/>
        <v>-6.2359941213882314E-4</v>
      </c>
      <c r="Q55" s="2">
        <f t="shared" si="10"/>
        <v>33602.832000000002</v>
      </c>
    </row>
    <row r="56" spans="1:31" x14ac:dyDescent="0.2">
      <c r="A56" t="s">
        <v>38</v>
      </c>
      <c r="B56" s="3" t="s">
        <v>44</v>
      </c>
      <c r="C56" s="6">
        <v>48946.423999999999</v>
      </c>
      <c r="D56" s="6"/>
      <c r="E56">
        <f t="shared" si="7"/>
        <v>256.49740938533103</v>
      </c>
      <c r="F56">
        <f t="shared" si="8"/>
        <v>256.5</v>
      </c>
      <c r="G56">
        <f t="shared" si="11"/>
        <v>-1.0937625003862195E-2</v>
      </c>
      <c r="I56">
        <f t="shared" si="12"/>
        <v>-1.0937625003862195E-2</v>
      </c>
      <c r="O56">
        <f t="shared" ca="1" si="9"/>
        <v>-6.2250017799367363E-4</v>
      </c>
      <c r="Q56" s="2">
        <f t="shared" si="10"/>
        <v>33927.923999999999</v>
      </c>
    </row>
    <row r="57" spans="1:31" x14ac:dyDescent="0.2">
      <c r="A57" t="s">
        <v>38</v>
      </c>
      <c r="B57" s="3" t="s">
        <v>44</v>
      </c>
      <c r="C57" s="6">
        <v>48984.440999999999</v>
      </c>
      <c r="D57" s="6"/>
      <c r="E57">
        <f t="shared" si="7"/>
        <v>265.50186856679966</v>
      </c>
      <c r="F57">
        <f t="shared" si="8"/>
        <v>265.5</v>
      </c>
      <c r="G57">
        <f t="shared" si="11"/>
        <v>7.8891250013839453E-3</v>
      </c>
      <c r="I57">
        <f t="shared" si="12"/>
        <v>7.8891250013839453E-3</v>
      </c>
      <c r="O57">
        <f t="shared" ca="1" si="9"/>
        <v>-6.2237169608060422E-4</v>
      </c>
      <c r="Q57" s="2">
        <f t="shared" si="10"/>
        <v>33965.940999999999</v>
      </c>
    </row>
    <row r="58" spans="1:31" x14ac:dyDescent="0.2">
      <c r="A58" t="s">
        <v>39</v>
      </c>
      <c r="B58" s="3"/>
      <c r="C58" s="6">
        <v>49041.427000000003</v>
      </c>
      <c r="D58" s="6">
        <v>4.0000000000000001E-3</v>
      </c>
      <c r="E58">
        <f t="shared" si="7"/>
        <v>278.99920162609453</v>
      </c>
      <c r="F58">
        <f t="shared" si="8"/>
        <v>279</v>
      </c>
      <c r="G58">
        <f t="shared" si="11"/>
        <v>-3.3707499969750643E-3</v>
      </c>
      <c r="I58">
        <f t="shared" si="12"/>
        <v>-3.3707499969750643E-3</v>
      </c>
      <c r="O58">
        <f t="shared" ca="1" si="9"/>
        <v>-6.221789732110001E-4</v>
      </c>
      <c r="Q58" s="2">
        <f t="shared" si="10"/>
        <v>34022.927000000003</v>
      </c>
    </row>
    <row r="59" spans="1:31" x14ac:dyDescent="0.2">
      <c r="A59" s="8" t="s">
        <v>38</v>
      </c>
      <c r="B59" s="9"/>
      <c r="C59" s="10">
        <v>49058.317000000003</v>
      </c>
      <c r="D59" s="10">
        <v>5.0000000000000001E-4</v>
      </c>
      <c r="E59">
        <f t="shared" si="7"/>
        <v>282.99965709535832</v>
      </c>
      <c r="F59">
        <f t="shared" si="8"/>
        <v>283</v>
      </c>
      <c r="G59">
        <f t="shared" si="11"/>
        <v>-1.447750000806991E-3</v>
      </c>
      <c r="I59">
        <f t="shared" si="12"/>
        <v>-1.447750000806991E-3</v>
      </c>
      <c r="O59">
        <f t="shared" ca="1" si="9"/>
        <v>-6.2212187013852482E-4</v>
      </c>
      <c r="Q59" s="2">
        <f t="shared" si="10"/>
        <v>34039.817000000003</v>
      </c>
    </row>
    <row r="60" spans="1:31" x14ac:dyDescent="0.2">
      <c r="A60" s="31" t="s">
        <v>261</v>
      </c>
      <c r="B60" s="33" t="s">
        <v>44</v>
      </c>
      <c r="C60" s="32">
        <v>49250.419000000002</v>
      </c>
      <c r="D60" s="6"/>
      <c r="E60">
        <f t="shared" si="7"/>
        <v>328.49968649479769</v>
      </c>
      <c r="F60">
        <f t="shared" si="8"/>
        <v>328.5</v>
      </c>
      <c r="G60">
        <f t="shared" si="11"/>
        <v>-1.3236250015324913E-3</v>
      </c>
      <c r="I60">
        <f t="shared" si="12"/>
        <v>-1.3236250015324913E-3</v>
      </c>
      <c r="O60">
        <f t="shared" ca="1" si="9"/>
        <v>-6.2147232268911824E-4</v>
      </c>
      <c r="Q60" s="2">
        <f t="shared" si="10"/>
        <v>34231.919000000002</v>
      </c>
      <c r="AA60">
        <v>14</v>
      </c>
      <c r="AC60" t="s">
        <v>32</v>
      </c>
      <c r="AE60" t="s">
        <v>31</v>
      </c>
    </row>
    <row r="61" spans="1:31" x14ac:dyDescent="0.2">
      <c r="A61" s="31" t="s">
        <v>261</v>
      </c>
      <c r="B61" s="33" t="s">
        <v>44</v>
      </c>
      <c r="C61" s="32">
        <v>49288.417999999998</v>
      </c>
      <c r="D61" s="6"/>
      <c r="E61">
        <f t="shared" si="7"/>
        <v>337.49988231342076</v>
      </c>
      <c r="F61">
        <f t="shared" si="8"/>
        <v>337.5</v>
      </c>
      <c r="G61">
        <f t="shared" si="11"/>
        <v>-4.9687499995343387E-4</v>
      </c>
      <c r="I61">
        <f t="shared" si="12"/>
        <v>-4.9687499995343387E-4</v>
      </c>
      <c r="O61">
        <f t="shared" ca="1" si="9"/>
        <v>-6.2134384077604883E-4</v>
      </c>
      <c r="Q61" s="2">
        <f t="shared" si="10"/>
        <v>34269.917999999998</v>
      </c>
      <c r="AA61">
        <v>31</v>
      </c>
      <c r="AC61" t="s">
        <v>29</v>
      </c>
      <c r="AE61" t="s">
        <v>31</v>
      </c>
    </row>
    <row r="62" spans="1:31" x14ac:dyDescent="0.2">
      <c r="A62" s="8" t="s">
        <v>41</v>
      </c>
      <c r="B62" s="9"/>
      <c r="C62" s="10">
        <v>49400.303999999996</v>
      </c>
      <c r="D62" s="10">
        <v>4.0000000000000001E-3</v>
      </c>
      <c r="E62">
        <f t="shared" si="7"/>
        <v>364.00047204900727</v>
      </c>
      <c r="F62">
        <f t="shared" si="8"/>
        <v>364</v>
      </c>
      <c r="G62">
        <f t="shared" si="11"/>
        <v>1.9929999980377033E-3</v>
      </c>
      <c r="I62">
        <f t="shared" si="12"/>
        <v>1.9929999980377033E-3</v>
      </c>
      <c r="O62">
        <f t="shared" ca="1" si="9"/>
        <v>-6.2096553292090002E-4</v>
      </c>
      <c r="Q62" s="2">
        <f t="shared" si="10"/>
        <v>34381.803999999996</v>
      </c>
    </row>
    <row r="63" spans="1:31" x14ac:dyDescent="0.2">
      <c r="A63" s="31" t="s">
        <v>278</v>
      </c>
      <c r="B63" s="33" t="s">
        <v>44</v>
      </c>
      <c r="C63" s="32">
        <v>49685.300999999999</v>
      </c>
      <c r="D63" s="6"/>
      <c r="E63">
        <f t="shared" si="7"/>
        <v>431.5030065293991</v>
      </c>
      <c r="F63">
        <f t="shared" si="8"/>
        <v>431.5</v>
      </c>
      <c r="G63">
        <f t="shared" si="11"/>
        <v>1.2693625001702458E-2</v>
      </c>
      <c r="I63">
        <f t="shared" si="12"/>
        <v>1.2693625001702458E-2</v>
      </c>
      <c r="O63">
        <f t="shared" ca="1" si="9"/>
        <v>-6.2000191857287934E-4</v>
      </c>
      <c r="Q63" s="2">
        <f t="shared" si="10"/>
        <v>34666.800999999999</v>
      </c>
    </row>
    <row r="64" spans="1:31" x14ac:dyDescent="0.2">
      <c r="A64" s="8" t="s">
        <v>43</v>
      </c>
      <c r="B64" s="9" t="s">
        <v>44</v>
      </c>
      <c r="C64" s="10">
        <v>50027.275000000001</v>
      </c>
      <c r="D64" s="10">
        <v>6.0000000000000001E-3</v>
      </c>
      <c r="E64">
        <f t="shared" si="7"/>
        <v>512.50074238766217</v>
      </c>
      <c r="F64">
        <f t="shared" si="8"/>
        <v>512.5</v>
      </c>
      <c r="G64">
        <f t="shared" si="11"/>
        <v>3.1343750015366822E-3</v>
      </c>
      <c r="I64">
        <f t="shared" si="12"/>
        <v>3.1343750015366822E-3</v>
      </c>
      <c r="O64">
        <f t="shared" ca="1" si="9"/>
        <v>-6.1884558135525455E-4</v>
      </c>
      <c r="Q64" s="2">
        <f t="shared" si="10"/>
        <v>35008.775000000001</v>
      </c>
      <c r="AA64">
        <v>10</v>
      </c>
      <c r="AC64" t="s">
        <v>32</v>
      </c>
      <c r="AE64" t="s">
        <v>31</v>
      </c>
    </row>
    <row r="65" spans="1:31" x14ac:dyDescent="0.2">
      <c r="A65" s="11" t="s">
        <v>58</v>
      </c>
      <c r="B65" s="12" t="s">
        <v>46</v>
      </c>
      <c r="C65" s="11">
        <v>54652.489000000001</v>
      </c>
      <c r="D65" s="11" t="s">
        <v>59</v>
      </c>
      <c r="E65">
        <f t="shared" si="7"/>
        <v>1607.998826627804</v>
      </c>
      <c r="F65">
        <f t="shared" si="8"/>
        <v>1608</v>
      </c>
      <c r="G65">
        <f t="shared" si="11"/>
        <v>-4.9539999963599257E-3</v>
      </c>
      <c r="I65">
        <f t="shared" si="12"/>
        <v>-4.9539999963599257E-3</v>
      </c>
      <c r="O65">
        <f t="shared" ca="1" si="9"/>
        <v>-6.0320647738108194E-4</v>
      </c>
      <c r="Q65" s="2">
        <f t="shared" si="10"/>
        <v>39633.989000000001</v>
      </c>
      <c r="AA65">
        <v>35</v>
      </c>
      <c r="AC65" t="s">
        <v>29</v>
      </c>
      <c r="AE65" t="s">
        <v>31</v>
      </c>
    </row>
    <row r="66" spans="1:31" x14ac:dyDescent="0.2">
      <c r="A66" s="34" t="s">
        <v>307</v>
      </c>
      <c r="B66" s="35" t="s">
        <v>46</v>
      </c>
      <c r="C66" s="36">
        <v>57295.476000000002</v>
      </c>
      <c r="D66" s="65">
        <v>4.1000000000000003E-3</v>
      </c>
      <c r="E66">
        <f t="shared" si="7"/>
        <v>2233.9995252271769</v>
      </c>
      <c r="F66">
        <f t="shared" si="8"/>
        <v>2234</v>
      </c>
      <c r="G66">
        <f t="shared" si="11"/>
        <v>-2.0044999982928857E-3</v>
      </c>
      <c r="K66">
        <f>+G66</f>
        <v>-2.0044999982928857E-3</v>
      </c>
      <c r="O66">
        <f t="shared" ca="1" si="9"/>
        <v>-5.9426984653869756E-4</v>
      </c>
      <c r="Q66" s="2">
        <f t="shared" si="10"/>
        <v>42276.976000000002</v>
      </c>
      <c r="AA66">
        <v>12</v>
      </c>
      <c r="AC66" t="s">
        <v>32</v>
      </c>
      <c r="AE66" t="s">
        <v>31</v>
      </c>
    </row>
    <row r="67" spans="1:31" x14ac:dyDescent="0.2">
      <c r="A67" s="8" t="s">
        <v>47</v>
      </c>
      <c r="B67" s="9" t="s">
        <v>44</v>
      </c>
      <c r="C67" s="10">
        <v>47810.709900000002</v>
      </c>
      <c r="D67" s="10"/>
      <c r="E67">
        <f t="shared" si="7"/>
        <v>-12.500440399460363</v>
      </c>
      <c r="F67">
        <f t="shared" si="8"/>
        <v>-12.5</v>
      </c>
      <c r="G67">
        <f t="shared" si="11"/>
        <v>-1.8593749991850927E-3</v>
      </c>
      <c r="J67">
        <f t="shared" ref="J67:J90" si="13">+G67</f>
        <v>-1.8593749991850927E-3</v>
      </c>
      <c r="O67">
        <f t="shared" ca="1" si="9"/>
        <v>-6.263403596176375E-4</v>
      </c>
      <c r="Q67" s="2">
        <f t="shared" si="10"/>
        <v>32792.209900000002</v>
      </c>
    </row>
    <row r="68" spans="1:31" x14ac:dyDescent="0.2">
      <c r="A68" s="31" t="s">
        <v>158</v>
      </c>
      <c r="B68" s="33" t="s">
        <v>46</v>
      </c>
      <c r="C68" s="32">
        <v>47922.592100000002</v>
      </c>
      <c r="D68" s="6"/>
      <c r="E68">
        <f t="shared" si="7"/>
        <v>13.999249292859259</v>
      </c>
      <c r="F68">
        <f t="shared" si="8"/>
        <v>14</v>
      </c>
      <c r="G68">
        <f t="shared" si="11"/>
        <v>-3.1694999997853301E-3</v>
      </c>
      <c r="J68">
        <f t="shared" si="13"/>
        <v>-3.1694999997853301E-3</v>
      </c>
      <c r="O68">
        <f t="shared" ca="1" si="9"/>
        <v>-6.259620517624887E-4</v>
      </c>
      <c r="Q68" s="2">
        <f t="shared" si="10"/>
        <v>32904.092100000002</v>
      </c>
    </row>
    <row r="69" spans="1:31" x14ac:dyDescent="0.2">
      <c r="A69" s="31" t="s">
        <v>158</v>
      </c>
      <c r="B69" s="33" t="s">
        <v>46</v>
      </c>
      <c r="C69" s="32">
        <v>47922.594799999999</v>
      </c>
      <c r="D69" s="6"/>
      <c r="E69">
        <f t="shared" si="7"/>
        <v>13.999888797285317</v>
      </c>
      <c r="F69">
        <f t="shared" si="8"/>
        <v>14</v>
      </c>
      <c r="G69">
        <f t="shared" si="11"/>
        <v>-4.6950000250944868E-4</v>
      </c>
      <c r="J69">
        <f t="shared" si="13"/>
        <v>-4.6950000250944868E-4</v>
      </c>
      <c r="O69">
        <f t="shared" ca="1" si="9"/>
        <v>-6.259620517624887E-4</v>
      </c>
      <c r="Q69" s="2">
        <f t="shared" si="10"/>
        <v>32904.094799999999</v>
      </c>
    </row>
    <row r="70" spans="1:31" x14ac:dyDescent="0.2">
      <c r="A70" s="8" t="s">
        <v>47</v>
      </c>
      <c r="B70" s="9" t="s">
        <v>46</v>
      </c>
      <c r="C70" s="10">
        <v>47922.594899999996</v>
      </c>
      <c r="D70" s="10"/>
      <c r="E70">
        <f t="shared" si="7"/>
        <v>13.999912482633855</v>
      </c>
      <c r="F70">
        <f t="shared" si="8"/>
        <v>14</v>
      </c>
      <c r="G70">
        <f t="shared" si="11"/>
        <v>-3.6950000503566116E-4</v>
      </c>
      <c r="J70">
        <f t="shared" si="13"/>
        <v>-3.6950000503566116E-4</v>
      </c>
      <c r="O70">
        <f t="shared" ca="1" si="9"/>
        <v>-6.259620517624887E-4</v>
      </c>
      <c r="Q70" s="2">
        <f t="shared" si="10"/>
        <v>32904.094899999996</v>
      </c>
      <c r="AA70">
        <v>21</v>
      </c>
      <c r="AC70" t="s">
        <v>36</v>
      </c>
      <c r="AE70" t="s">
        <v>31</v>
      </c>
    </row>
    <row r="71" spans="1:31" x14ac:dyDescent="0.2">
      <c r="A71" s="31" t="s">
        <v>79</v>
      </c>
      <c r="B71" s="33" t="s">
        <v>44</v>
      </c>
      <c r="C71" s="32">
        <v>48135.806799999998</v>
      </c>
      <c r="D71" s="6"/>
      <c r="E71">
        <f t="shared" si="7"/>
        <v>64.499895399576275</v>
      </c>
      <c r="F71">
        <f t="shared" si="8"/>
        <v>64.5</v>
      </c>
      <c r="G71">
        <f t="shared" si="11"/>
        <v>-4.416250012582168E-4</v>
      </c>
      <c r="J71">
        <f t="shared" si="13"/>
        <v>-4.416250012582168E-4</v>
      </c>
      <c r="O71">
        <f t="shared" ca="1" si="9"/>
        <v>-6.2524112547248799E-4</v>
      </c>
      <c r="Q71" s="2">
        <f t="shared" si="10"/>
        <v>33117.306799999998</v>
      </c>
      <c r="AA71">
        <v>23</v>
      </c>
      <c r="AC71" t="s">
        <v>29</v>
      </c>
      <c r="AE71" t="s">
        <v>31</v>
      </c>
    </row>
    <row r="72" spans="1:31" x14ac:dyDescent="0.2">
      <c r="A72" s="31" t="s">
        <v>183</v>
      </c>
      <c r="B72" s="33" t="s">
        <v>46</v>
      </c>
      <c r="C72" s="32">
        <v>48146.3753</v>
      </c>
      <c r="D72" s="6"/>
      <c r="E72">
        <f t="shared" si="7"/>
        <v>67.003081523135819</v>
      </c>
      <c r="F72">
        <f t="shared" si="8"/>
        <v>67</v>
      </c>
      <c r="G72">
        <f t="shared" si="11"/>
        <v>1.3010249997023493E-2</v>
      </c>
      <c r="J72">
        <f t="shared" si="13"/>
        <v>1.3010249997023493E-2</v>
      </c>
      <c r="O72">
        <f t="shared" ca="1" si="9"/>
        <v>-6.2520543605219098E-4</v>
      </c>
      <c r="Q72" s="2">
        <f t="shared" si="10"/>
        <v>33127.8753</v>
      </c>
      <c r="AA72">
        <v>26</v>
      </c>
      <c r="AC72" t="s">
        <v>29</v>
      </c>
      <c r="AE72" t="s">
        <v>31</v>
      </c>
    </row>
    <row r="73" spans="1:31" x14ac:dyDescent="0.2">
      <c r="A73" s="31" t="s">
        <v>158</v>
      </c>
      <c r="B73" s="33" t="s">
        <v>44</v>
      </c>
      <c r="C73" s="32">
        <v>48186.470800000003</v>
      </c>
      <c r="D73" s="6"/>
      <c r="E73">
        <f t="shared" si="7"/>
        <v>76.499840686420796</v>
      </c>
      <c r="F73">
        <f t="shared" si="8"/>
        <v>76.5</v>
      </c>
      <c r="G73">
        <f t="shared" si="11"/>
        <v>-6.7262499942444265E-4</v>
      </c>
      <c r="J73">
        <f t="shared" si="13"/>
        <v>-6.7262499942444265E-4</v>
      </c>
      <c r="O73">
        <f t="shared" ca="1" si="9"/>
        <v>-6.2506981625506215E-4</v>
      </c>
      <c r="Q73" s="2">
        <f t="shared" si="10"/>
        <v>33167.970800000003</v>
      </c>
      <c r="AA73">
        <v>16</v>
      </c>
      <c r="AC73" t="s">
        <v>37</v>
      </c>
      <c r="AE73" t="s">
        <v>31</v>
      </c>
    </row>
    <row r="74" spans="1:31" x14ac:dyDescent="0.2">
      <c r="A74" s="31" t="s">
        <v>158</v>
      </c>
      <c r="B74" s="33" t="s">
        <v>44</v>
      </c>
      <c r="C74" s="32">
        <v>48186.470800000003</v>
      </c>
      <c r="D74" s="6"/>
      <c r="E74">
        <f t="shared" ref="E74:E93" si="14">+(C74-C$7)/C$8</f>
        <v>76.499840686420796</v>
      </c>
      <c r="F74">
        <f t="shared" ref="F74:F93" si="15">ROUND(2*E74,0)/2</f>
        <v>76.5</v>
      </c>
      <c r="G74">
        <f t="shared" si="11"/>
        <v>-6.7262499942444265E-4</v>
      </c>
      <c r="J74">
        <f t="shared" si="13"/>
        <v>-6.7262499942444265E-4</v>
      </c>
      <c r="O74">
        <f t="shared" ref="O74:O93" ca="1" si="16">+C$11+C$12*$F74</f>
        <v>-6.2506981625506215E-4</v>
      </c>
      <c r="Q74" s="2">
        <f t="shared" ref="Q74:Q93" si="17">+C74-15018.5</f>
        <v>33167.970800000003</v>
      </c>
      <c r="AA74">
        <v>13</v>
      </c>
      <c r="AC74" t="s">
        <v>29</v>
      </c>
      <c r="AE74" t="s">
        <v>31</v>
      </c>
    </row>
    <row r="75" spans="1:31" x14ac:dyDescent="0.2">
      <c r="A75" s="31" t="s">
        <v>79</v>
      </c>
      <c r="B75" s="33" t="s">
        <v>44</v>
      </c>
      <c r="C75" s="32">
        <v>48190.693399999996</v>
      </c>
      <c r="D75" s="6"/>
      <c r="E75">
        <f t="shared" si="14"/>
        <v>77.499978239084413</v>
      </c>
      <c r="F75">
        <f t="shared" si="15"/>
        <v>77.5</v>
      </c>
      <c r="G75">
        <f t="shared" si="11"/>
        <v>-9.1875001089647412E-5</v>
      </c>
      <c r="J75">
        <f t="shared" si="13"/>
        <v>-9.1875001089647412E-5</v>
      </c>
      <c r="O75">
        <f t="shared" ca="1" si="16"/>
        <v>-6.250555404869433E-4</v>
      </c>
      <c r="Q75" s="2">
        <f t="shared" si="17"/>
        <v>33172.193399999996</v>
      </c>
      <c r="AA75">
        <v>16</v>
      </c>
      <c r="AC75" t="s">
        <v>29</v>
      </c>
      <c r="AE75" t="s">
        <v>31</v>
      </c>
    </row>
    <row r="76" spans="1:31" x14ac:dyDescent="0.2">
      <c r="A76" s="31" t="s">
        <v>183</v>
      </c>
      <c r="B76" s="33" t="s">
        <v>46</v>
      </c>
      <c r="C76" s="32">
        <v>48260.356200000002</v>
      </c>
      <c r="D76" s="6"/>
      <c r="E76">
        <f t="shared" si="14"/>
        <v>93.999855637797253</v>
      </c>
      <c r="F76">
        <f t="shared" si="15"/>
        <v>94</v>
      </c>
      <c r="G76">
        <f t="shared" si="11"/>
        <v>-6.094999989727512E-4</v>
      </c>
      <c r="J76">
        <f t="shared" si="13"/>
        <v>-6.094999989727512E-4</v>
      </c>
      <c r="O76">
        <f t="shared" ca="1" si="16"/>
        <v>-6.2481999031298275E-4</v>
      </c>
      <c r="Q76" s="2">
        <f t="shared" si="17"/>
        <v>33241.856200000002</v>
      </c>
      <c r="AA76">
        <v>9</v>
      </c>
      <c r="AC76" t="s">
        <v>36</v>
      </c>
      <c r="AE76" t="s">
        <v>31</v>
      </c>
    </row>
    <row r="77" spans="1:31" x14ac:dyDescent="0.2">
      <c r="A77" s="31" t="s">
        <v>158</v>
      </c>
      <c r="B77" s="33" t="s">
        <v>46</v>
      </c>
      <c r="C77" s="32">
        <v>48281.465700000001</v>
      </c>
      <c r="D77" s="6"/>
      <c r="E77">
        <f t="shared" si="14"/>
        <v>98.999714413902709</v>
      </c>
      <c r="F77">
        <f t="shared" si="15"/>
        <v>99</v>
      </c>
      <c r="G77">
        <f t="shared" si="11"/>
        <v>-1.2057499989168718E-3</v>
      </c>
      <c r="J77">
        <f t="shared" si="13"/>
        <v>-1.2057499989168718E-3</v>
      </c>
      <c r="O77">
        <f t="shared" ca="1" si="16"/>
        <v>-6.2474861147238862E-4</v>
      </c>
      <c r="Q77" s="2">
        <f t="shared" si="17"/>
        <v>33262.965700000001</v>
      </c>
      <c r="AA77">
        <v>30</v>
      </c>
      <c r="AC77" t="s">
        <v>40</v>
      </c>
      <c r="AE77" t="s">
        <v>31</v>
      </c>
    </row>
    <row r="78" spans="1:31" x14ac:dyDescent="0.2">
      <c r="A78" s="31" t="s">
        <v>212</v>
      </c>
      <c r="B78" s="33" t="s">
        <v>44</v>
      </c>
      <c r="C78" s="32">
        <v>48490.4565</v>
      </c>
      <c r="D78" s="6"/>
      <c r="E78">
        <f t="shared" si="14"/>
        <v>148.49991505841649</v>
      </c>
      <c r="F78">
        <f t="shared" si="15"/>
        <v>148.5</v>
      </c>
      <c r="G78">
        <f t="shared" si="11"/>
        <v>-3.5862500226357952E-4</v>
      </c>
      <c r="J78">
        <f t="shared" si="13"/>
        <v>-3.5862500226357952E-4</v>
      </c>
      <c r="O78">
        <f t="shared" ca="1" si="16"/>
        <v>-6.2404196095050676E-4</v>
      </c>
      <c r="Q78" s="2">
        <f t="shared" si="17"/>
        <v>33471.9565</v>
      </c>
    </row>
    <row r="79" spans="1:31" x14ac:dyDescent="0.2">
      <c r="A79" s="31" t="s">
        <v>212</v>
      </c>
      <c r="B79" s="33" t="s">
        <v>46</v>
      </c>
      <c r="C79" s="32">
        <v>48509.454899999997</v>
      </c>
      <c r="D79" s="6"/>
      <c r="E79">
        <f t="shared" si="14"/>
        <v>152.99975242888721</v>
      </c>
      <c r="F79">
        <f t="shared" si="15"/>
        <v>153</v>
      </c>
      <c r="G79">
        <f t="shared" si="11"/>
        <v>-1.0452500064275227E-3</v>
      </c>
      <c r="J79">
        <f t="shared" si="13"/>
        <v>-1.0452500064275227E-3</v>
      </c>
      <c r="O79">
        <f t="shared" ca="1" si="16"/>
        <v>-6.2397771999397205E-4</v>
      </c>
      <c r="Q79" s="2">
        <f t="shared" si="17"/>
        <v>33490.954899999997</v>
      </c>
    </row>
    <row r="80" spans="1:31" x14ac:dyDescent="0.2">
      <c r="A80" s="31" t="s">
        <v>212</v>
      </c>
      <c r="B80" s="33" t="s">
        <v>46</v>
      </c>
      <c r="C80" s="32">
        <v>48509.454899999997</v>
      </c>
      <c r="D80" s="6"/>
      <c r="E80">
        <f t="shared" si="14"/>
        <v>152.99975242888721</v>
      </c>
      <c r="F80">
        <f t="shared" si="15"/>
        <v>153</v>
      </c>
      <c r="G80">
        <f t="shared" si="11"/>
        <v>-1.0452500064275227E-3</v>
      </c>
      <c r="J80">
        <f t="shared" si="13"/>
        <v>-1.0452500064275227E-3</v>
      </c>
      <c r="O80">
        <f t="shared" ca="1" si="16"/>
        <v>-6.2397771999397205E-4</v>
      </c>
      <c r="Q80" s="2">
        <f t="shared" si="17"/>
        <v>33490.954899999997</v>
      </c>
    </row>
    <row r="81" spans="1:31" x14ac:dyDescent="0.2">
      <c r="A81" t="s">
        <v>35</v>
      </c>
      <c r="B81" s="3" t="s">
        <v>44</v>
      </c>
      <c r="C81" s="6">
        <v>48680.453099999999</v>
      </c>
      <c r="D81" s="6">
        <v>1.5E-3</v>
      </c>
      <c r="E81">
        <f t="shared" si="14"/>
        <v>193.50127311712231</v>
      </c>
      <c r="F81">
        <f t="shared" si="15"/>
        <v>193.5</v>
      </c>
      <c r="G81">
        <f t="shared" si="11"/>
        <v>5.3751249943161383E-3</v>
      </c>
      <c r="J81">
        <f t="shared" si="13"/>
        <v>5.3751249943161383E-3</v>
      </c>
      <c r="O81">
        <f t="shared" ca="1" si="16"/>
        <v>-6.233995513851596E-4</v>
      </c>
      <c r="Q81" s="2">
        <f t="shared" si="17"/>
        <v>33661.953099999999</v>
      </c>
    </row>
    <row r="82" spans="1:31" x14ac:dyDescent="0.2">
      <c r="A82" s="31" t="s">
        <v>249</v>
      </c>
      <c r="B82" s="33" t="s">
        <v>46</v>
      </c>
      <c r="C82" s="32">
        <v>49058.317900000002</v>
      </c>
      <c r="D82" s="6"/>
      <c r="E82">
        <f t="shared" si="14"/>
        <v>282.99987026350033</v>
      </c>
      <c r="F82">
        <f t="shared" si="15"/>
        <v>283</v>
      </c>
      <c r="G82">
        <f t="shared" si="11"/>
        <v>-5.4775000171503052E-4</v>
      </c>
      <c r="J82">
        <f t="shared" si="13"/>
        <v>-5.4775000171503052E-4</v>
      </c>
      <c r="O82">
        <f t="shared" ca="1" si="16"/>
        <v>-6.2212187013852482E-4</v>
      </c>
      <c r="Q82" s="2">
        <f t="shared" si="17"/>
        <v>34039.817900000002</v>
      </c>
    </row>
    <row r="83" spans="1:31" x14ac:dyDescent="0.2">
      <c r="A83" s="31" t="s">
        <v>261</v>
      </c>
      <c r="B83" s="33" t="s">
        <v>46</v>
      </c>
      <c r="C83" s="32">
        <v>49214.5317</v>
      </c>
      <c r="D83" s="6"/>
      <c r="E83">
        <f t="shared" si="14"/>
        <v>319.99965419390224</v>
      </c>
      <c r="F83">
        <f t="shared" si="15"/>
        <v>320</v>
      </c>
      <c r="G83">
        <f t="shared" si="11"/>
        <v>-1.4599999994970858E-3</v>
      </c>
      <c r="J83">
        <f t="shared" si="13"/>
        <v>-1.4599999994970858E-3</v>
      </c>
      <c r="O83">
        <f t="shared" ca="1" si="16"/>
        <v>-6.2159366671812833E-4</v>
      </c>
      <c r="Q83" s="2">
        <f t="shared" si="17"/>
        <v>34196.0317</v>
      </c>
    </row>
    <row r="84" spans="1:31" x14ac:dyDescent="0.2">
      <c r="A84" s="31" t="s">
        <v>261</v>
      </c>
      <c r="B84" s="33" t="s">
        <v>46</v>
      </c>
      <c r="C84" s="32">
        <v>49214.531900000002</v>
      </c>
      <c r="D84" s="6"/>
      <c r="E84">
        <f t="shared" si="14"/>
        <v>319.99970156460108</v>
      </c>
      <c r="F84">
        <f t="shared" si="15"/>
        <v>320</v>
      </c>
      <c r="G84">
        <f t="shared" si="11"/>
        <v>-1.2599999972735532E-3</v>
      </c>
      <c r="J84">
        <f t="shared" si="13"/>
        <v>-1.2599999972735532E-3</v>
      </c>
      <c r="O84">
        <f t="shared" ca="1" si="16"/>
        <v>-6.2159366671812833E-4</v>
      </c>
      <c r="Q84" s="2">
        <f t="shared" si="17"/>
        <v>34196.031900000002</v>
      </c>
    </row>
    <row r="85" spans="1:31" x14ac:dyDescent="0.2">
      <c r="A85" s="31" t="s">
        <v>261</v>
      </c>
      <c r="B85" s="33" t="s">
        <v>44</v>
      </c>
      <c r="C85" s="32">
        <v>49250.419199999997</v>
      </c>
      <c r="D85" s="6"/>
      <c r="E85">
        <f t="shared" si="14"/>
        <v>328.49973386549476</v>
      </c>
      <c r="F85">
        <f t="shared" si="15"/>
        <v>328.5</v>
      </c>
      <c r="G85">
        <f t="shared" si="11"/>
        <v>-1.1236250065849163E-3</v>
      </c>
      <c r="J85">
        <f t="shared" si="13"/>
        <v>-1.1236250065849163E-3</v>
      </c>
      <c r="O85">
        <f t="shared" ca="1" si="16"/>
        <v>-6.2147232268911824E-4</v>
      </c>
      <c r="Q85" s="2">
        <f t="shared" si="17"/>
        <v>34231.919199999997</v>
      </c>
      <c r="AA85">
        <v>11</v>
      </c>
      <c r="AC85" t="s">
        <v>36</v>
      </c>
      <c r="AE85" t="s">
        <v>31</v>
      </c>
    </row>
    <row r="86" spans="1:31" x14ac:dyDescent="0.2">
      <c r="A86" s="31" t="s">
        <v>261</v>
      </c>
      <c r="B86" s="33" t="s">
        <v>44</v>
      </c>
      <c r="C86" s="32">
        <v>49288.417500000003</v>
      </c>
      <c r="D86" s="6"/>
      <c r="E86">
        <f t="shared" si="14"/>
        <v>337.49976388667631</v>
      </c>
      <c r="F86">
        <f t="shared" si="15"/>
        <v>337.5</v>
      </c>
      <c r="G86">
        <f t="shared" si="11"/>
        <v>-9.9687499459832907E-4</v>
      </c>
      <c r="J86">
        <f t="shared" si="13"/>
        <v>-9.9687499459832907E-4</v>
      </c>
      <c r="O86">
        <f t="shared" ca="1" si="16"/>
        <v>-6.2134384077604883E-4</v>
      </c>
      <c r="Q86" s="2">
        <f t="shared" si="17"/>
        <v>34269.917500000003</v>
      </c>
    </row>
    <row r="87" spans="1:31" x14ac:dyDescent="0.2">
      <c r="A87" s="8" t="s">
        <v>45</v>
      </c>
      <c r="B87" s="9" t="s">
        <v>44</v>
      </c>
      <c r="C87" s="10">
        <v>51171.439299999998</v>
      </c>
      <c r="D87" s="10">
        <v>1.2999999999999999E-3</v>
      </c>
      <c r="E87">
        <f t="shared" si="14"/>
        <v>783.50005154524047</v>
      </c>
      <c r="F87">
        <f t="shared" si="15"/>
        <v>783.5</v>
      </c>
      <c r="G87">
        <f t="shared" si="11"/>
        <v>2.1762499818578362E-4</v>
      </c>
      <c r="J87">
        <f t="shared" si="13"/>
        <v>2.1762499818578362E-4</v>
      </c>
      <c r="O87">
        <f t="shared" ca="1" si="16"/>
        <v>-6.1497684819505297E-4</v>
      </c>
      <c r="Q87" s="2">
        <f t="shared" si="17"/>
        <v>36152.939299999998</v>
      </c>
      <c r="AA87">
        <v>10</v>
      </c>
      <c r="AC87" t="s">
        <v>42</v>
      </c>
      <c r="AE87" t="s">
        <v>31</v>
      </c>
    </row>
    <row r="88" spans="1:31" x14ac:dyDescent="0.2">
      <c r="A88" s="14" t="s">
        <v>60</v>
      </c>
      <c r="B88" s="15" t="s">
        <v>46</v>
      </c>
      <c r="C88" s="10">
        <v>56592.508399999999</v>
      </c>
      <c r="D88" s="16">
        <v>8.0000000000000004E-4</v>
      </c>
      <c r="E88">
        <f t="shared" si="14"/>
        <v>2067.4991948461625</v>
      </c>
      <c r="F88">
        <f t="shared" si="15"/>
        <v>2067.5</v>
      </c>
      <c r="G88">
        <f t="shared" si="11"/>
        <v>-3.3993750039371662E-3</v>
      </c>
      <c r="J88">
        <f t="shared" si="13"/>
        <v>-3.3993750039371662E-3</v>
      </c>
      <c r="O88">
        <f t="shared" ca="1" si="16"/>
        <v>-5.9664676193048186E-4</v>
      </c>
      <c r="Q88" s="2">
        <f t="shared" si="17"/>
        <v>41574.008399999999</v>
      </c>
    </row>
    <row r="89" spans="1:31" x14ac:dyDescent="0.2">
      <c r="A89" s="14" t="s">
        <v>60</v>
      </c>
      <c r="B89" s="15" t="s">
        <v>46</v>
      </c>
      <c r="C89" s="10">
        <v>56630.5098</v>
      </c>
      <c r="D89" s="16">
        <v>3.3999999999999998E-3</v>
      </c>
      <c r="E89">
        <f t="shared" si="14"/>
        <v>2076.4999591131659</v>
      </c>
      <c r="F89">
        <f t="shared" si="15"/>
        <v>2076.5</v>
      </c>
      <c r="G89">
        <f t="shared" si="11"/>
        <v>-1.7262500477954745E-4</v>
      </c>
      <c r="J89">
        <f t="shared" si="13"/>
        <v>-1.7262500477954745E-4</v>
      </c>
      <c r="O89">
        <f t="shared" ca="1" si="16"/>
        <v>-5.9651828001741245E-4</v>
      </c>
      <c r="Q89" s="2">
        <f t="shared" si="17"/>
        <v>41612.0098</v>
      </c>
    </row>
    <row r="90" spans="1:31" x14ac:dyDescent="0.2">
      <c r="A90" s="13" t="s">
        <v>62</v>
      </c>
      <c r="B90" s="17"/>
      <c r="C90" s="13">
        <v>56934.493499999997</v>
      </c>
      <c r="D90" s="13">
        <v>2.5999999999999999E-3</v>
      </c>
      <c r="E90">
        <f t="shared" si="14"/>
        <v>2148.4995597781785</v>
      </c>
      <c r="F90">
        <f t="shared" si="15"/>
        <v>2148.5</v>
      </c>
      <c r="G90">
        <f t="shared" si="11"/>
        <v>-1.8586250080261379E-3</v>
      </c>
      <c r="J90">
        <f t="shared" si="13"/>
        <v>-1.8586250080261379E-3</v>
      </c>
      <c r="O90">
        <f t="shared" ca="1" si="16"/>
        <v>-5.9549042471285707E-4</v>
      </c>
      <c r="Q90" s="2">
        <f t="shared" si="17"/>
        <v>41915.993499999997</v>
      </c>
    </row>
    <row r="91" spans="1:31" x14ac:dyDescent="0.2">
      <c r="A91" s="31" t="s">
        <v>183</v>
      </c>
      <c r="B91" s="33" t="s">
        <v>46</v>
      </c>
      <c r="C91" s="32">
        <v>48167.469299999997</v>
      </c>
      <c r="D91" s="6"/>
      <c r="E91">
        <f t="shared" si="14"/>
        <v>71.999269070124697</v>
      </c>
      <c r="F91">
        <f t="shared" si="15"/>
        <v>72</v>
      </c>
      <c r="G91">
        <f t="shared" si="11"/>
        <v>-3.0860000042594038E-3</v>
      </c>
      <c r="K91">
        <f>+G91</f>
        <v>-3.0860000042594038E-3</v>
      </c>
      <c r="O91">
        <f t="shared" ca="1" si="16"/>
        <v>-6.2513405721159685E-4</v>
      </c>
      <c r="Q91" s="2">
        <f t="shared" si="17"/>
        <v>33148.969299999997</v>
      </c>
    </row>
    <row r="92" spans="1:31" x14ac:dyDescent="0.2">
      <c r="A92" s="31" t="s">
        <v>212</v>
      </c>
      <c r="B92" s="33" t="s">
        <v>44</v>
      </c>
      <c r="C92" s="32">
        <v>48490.4571</v>
      </c>
      <c r="D92" s="6"/>
      <c r="E92">
        <f t="shared" si="14"/>
        <v>148.50005717051116</v>
      </c>
      <c r="F92">
        <f t="shared" si="15"/>
        <v>148.5</v>
      </c>
      <c r="G92">
        <f t="shared" si="11"/>
        <v>2.4137499713106081E-4</v>
      </c>
      <c r="K92">
        <f>+G92</f>
        <v>2.4137499713106081E-4</v>
      </c>
      <c r="O92">
        <f t="shared" ca="1" si="16"/>
        <v>-6.2404196095050676E-4</v>
      </c>
      <c r="Q92" s="2">
        <f t="shared" si="17"/>
        <v>33471.9571</v>
      </c>
    </row>
    <row r="93" spans="1:31" x14ac:dyDescent="0.2">
      <c r="A93" t="s">
        <v>34</v>
      </c>
      <c r="B93" s="3"/>
      <c r="C93" s="6">
        <v>48619.222999999998</v>
      </c>
      <c r="D93" s="6"/>
      <c r="E93">
        <f t="shared" si="14"/>
        <v>178.99871015509871</v>
      </c>
      <c r="F93">
        <f t="shared" si="15"/>
        <v>179</v>
      </c>
      <c r="G93">
        <f t="shared" si="11"/>
        <v>-5.4457500009448268E-3</v>
      </c>
      <c r="K93">
        <f>+G93</f>
        <v>-5.4457500009448268E-3</v>
      </c>
      <c r="O93">
        <f t="shared" ca="1" si="16"/>
        <v>-6.2360655002288256E-4</v>
      </c>
      <c r="Q93" s="2">
        <f t="shared" si="17"/>
        <v>33600.722999999998</v>
      </c>
    </row>
    <row r="94" spans="1:31" x14ac:dyDescent="0.2">
      <c r="B94" s="3"/>
      <c r="C94" s="6"/>
      <c r="D94" s="6"/>
    </row>
    <row r="95" spans="1:31" x14ac:dyDescent="0.2">
      <c r="B95" s="3"/>
      <c r="C95" s="6"/>
      <c r="D95" s="6"/>
    </row>
    <row r="96" spans="1:31" x14ac:dyDescent="0.2">
      <c r="B96" s="3"/>
      <c r="C96" s="6"/>
      <c r="D96" s="6"/>
    </row>
    <row r="97" spans="2:4" x14ac:dyDescent="0.2">
      <c r="B97" s="3"/>
      <c r="C97" s="6"/>
      <c r="D97" s="6"/>
    </row>
    <row r="98" spans="2:4" x14ac:dyDescent="0.2">
      <c r="B98" s="3"/>
      <c r="C98" s="6"/>
      <c r="D98" s="6"/>
    </row>
    <row r="99" spans="2:4" x14ac:dyDescent="0.2">
      <c r="B99" s="3"/>
      <c r="C99" s="6"/>
      <c r="D99" s="6"/>
    </row>
    <row r="100" spans="2:4" x14ac:dyDescent="0.2">
      <c r="B100" s="3"/>
      <c r="C100" s="6"/>
      <c r="D100" s="6"/>
    </row>
    <row r="101" spans="2:4" x14ac:dyDescent="0.2">
      <c r="B101" s="3"/>
      <c r="C101" s="6"/>
      <c r="D101" s="6"/>
    </row>
    <row r="102" spans="2:4" x14ac:dyDescent="0.2">
      <c r="B102" s="3"/>
      <c r="C102" s="6"/>
      <c r="D102" s="6"/>
    </row>
    <row r="103" spans="2:4" x14ac:dyDescent="0.2">
      <c r="B103" s="3"/>
      <c r="C103" s="6"/>
      <c r="D103" s="6"/>
    </row>
    <row r="104" spans="2:4" x14ac:dyDescent="0.2">
      <c r="C104" s="6"/>
      <c r="D104" s="6"/>
    </row>
    <row r="105" spans="2:4" x14ac:dyDescent="0.2">
      <c r="C105" s="6"/>
      <c r="D105" s="6"/>
    </row>
    <row r="106" spans="2:4" x14ac:dyDescent="0.2">
      <c r="C106" s="6"/>
      <c r="D106" s="6"/>
    </row>
    <row r="107" spans="2:4" x14ac:dyDescent="0.2">
      <c r="C107" s="6"/>
      <c r="D107" s="6"/>
    </row>
    <row r="108" spans="2:4" x14ac:dyDescent="0.2">
      <c r="C108" s="6"/>
      <c r="D108" s="6"/>
    </row>
    <row r="109" spans="2:4" x14ac:dyDescent="0.2">
      <c r="C109" s="6"/>
      <c r="D109" s="6"/>
    </row>
    <row r="110" spans="2:4" x14ac:dyDescent="0.2">
      <c r="C110" s="6"/>
      <c r="D110" s="6"/>
    </row>
    <row r="111" spans="2:4" x14ac:dyDescent="0.2">
      <c r="C111" s="6"/>
      <c r="D111" s="6"/>
    </row>
    <row r="112" spans="2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5"/>
  <sheetViews>
    <sheetView topLeftCell="A43" workbookViewId="0">
      <selection activeCell="A34" sqref="A34:C79"/>
    </sheetView>
  </sheetViews>
  <sheetFormatPr defaultRowHeight="12.75" x14ac:dyDescent="0.2"/>
  <cols>
    <col min="1" max="1" width="19.7109375" style="5" customWidth="1"/>
    <col min="2" max="2" width="4.42578125" style="7" customWidth="1"/>
    <col min="3" max="3" width="12.7109375" style="5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5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18" t="s">
        <v>63</v>
      </c>
      <c r="I1" s="19" t="s">
        <v>64</v>
      </c>
      <c r="J1" s="20" t="s">
        <v>65</v>
      </c>
    </row>
    <row r="2" spans="1:16" x14ac:dyDescent="0.2">
      <c r="I2" s="21" t="s">
        <v>66</v>
      </c>
      <c r="J2" s="22" t="s">
        <v>67</v>
      </c>
    </row>
    <row r="3" spans="1:16" x14ac:dyDescent="0.2">
      <c r="A3" s="23" t="s">
        <v>68</v>
      </c>
      <c r="I3" s="21" t="s">
        <v>69</v>
      </c>
      <c r="J3" s="22" t="s">
        <v>70</v>
      </c>
    </row>
    <row r="4" spans="1:16" x14ac:dyDescent="0.2">
      <c r="I4" s="21" t="s">
        <v>71</v>
      </c>
      <c r="J4" s="22" t="s">
        <v>70</v>
      </c>
    </row>
    <row r="5" spans="1:16" ht="13.5" thickBot="1" x14ac:dyDescent="0.25">
      <c r="I5" s="24" t="s">
        <v>72</v>
      </c>
      <c r="J5" s="25" t="s">
        <v>59</v>
      </c>
    </row>
    <row r="10" spans="1:16" ht="13.5" thickBot="1" x14ac:dyDescent="0.25"/>
    <row r="11" spans="1:16" ht="12.75" customHeight="1" thickBot="1" x14ac:dyDescent="0.25">
      <c r="A11" s="5" t="str">
        <f t="shared" ref="A11:A42" si="0">P11</f>
        <v>IBVS 3479 </v>
      </c>
      <c r="B11" s="3" t="str">
        <f t="shared" ref="B11:B42" si="1">IF(H11=INT(H11),"I","II")</f>
        <v>I</v>
      </c>
      <c r="C11" s="5">
        <f t="shared" ref="C11:C42" si="2">1*G11</f>
        <v>47808.599399999999</v>
      </c>
      <c r="D11" s="7" t="str">
        <f t="shared" ref="D11:D42" si="3">VLOOKUP(F11,I$1:J$5,2,FALSE)</f>
        <v>vis</v>
      </c>
      <c r="E11" s="26">
        <f>VLOOKUP(C11,Active!C$21:E$973,3,FALSE)</f>
        <v>-13.000319693000415</v>
      </c>
      <c r="F11" s="3" t="s">
        <v>72</v>
      </c>
      <c r="G11" s="7" t="str">
        <f t="shared" ref="G11:G42" si="4">MID(I11,3,LEN(I11)-3)</f>
        <v>47808.5994</v>
      </c>
      <c r="H11" s="5">
        <f t="shared" ref="H11:H42" si="5">1*K11</f>
        <v>-1112</v>
      </c>
      <c r="I11" s="27" t="s">
        <v>135</v>
      </c>
      <c r="J11" s="28" t="s">
        <v>136</v>
      </c>
      <c r="K11" s="27">
        <v>-1112</v>
      </c>
      <c r="L11" s="27" t="s">
        <v>137</v>
      </c>
      <c r="M11" s="28" t="s">
        <v>138</v>
      </c>
      <c r="N11" s="28" t="s">
        <v>139</v>
      </c>
      <c r="O11" s="29" t="s">
        <v>140</v>
      </c>
      <c r="P11" s="30" t="s">
        <v>141</v>
      </c>
    </row>
    <row r="12" spans="1:16" ht="12.75" customHeight="1" thickBot="1" x14ac:dyDescent="0.25">
      <c r="A12" s="5" t="str">
        <f t="shared" si="0"/>
        <v>IBVS 3479 </v>
      </c>
      <c r="B12" s="3" t="str">
        <f t="shared" si="1"/>
        <v>II</v>
      </c>
      <c r="C12" s="5">
        <f t="shared" si="2"/>
        <v>47810.709900000002</v>
      </c>
      <c r="D12" s="7" t="str">
        <f t="shared" si="3"/>
        <v>vis</v>
      </c>
      <c r="E12" s="26">
        <f>VLOOKUP(C12,Active!C$21:E$973,3,FALSE)</f>
        <v>-12.500440399460363</v>
      </c>
      <c r="F12" s="3" t="s">
        <v>72</v>
      </c>
      <c r="G12" s="7" t="str">
        <f t="shared" si="4"/>
        <v>47810.7099</v>
      </c>
      <c r="H12" s="5">
        <f t="shared" si="5"/>
        <v>-1111.5</v>
      </c>
      <c r="I12" s="27" t="s">
        <v>149</v>
      </c>
      <c r="J12" s="28" t="s">
        <v>150</v>
      </c>
      <c r="K12" s="27">
        <v>-1111.5</v>
      </c>
      <c r="L12" s="27" t="s">
        <v>151</v>
      </c>
      <c r="M12" s="28" t="s">
        <v>138</v>
      </c>
      <c r="N12" s="28" t="s">
        <v>139</v>
      </c>
      <c r="O12" s="29" t="s">
        <v>134</v>
      </c>
      <c r="P12" s="30" t="s">
        <v>141</v>
      </c>
    </row>
    <row r="13" spans="1:16" ht="12.75" customHeight="1" thickBot="1" x14ac:dyDescent="0.25">
      <c r="A13" s="5" t="str">
        <f t="shared" si="0"/>
        <v> BBS 113 </v>
      </c>
      <c r="B13" s="3" t="str">
        <f t="shared" si="1"/>
        <v>II</v>
      </c>
      <c r="C13" s="5">
        <f t="shared" si="2"/>
        <v>47937.347000000002</v>
      </c>
      <c r="D13" s="7" t="str">
        <f t="shared" si="3"/>
        <v>vis</v>
      </c>
      <c r="E13" s="26">
        <f>VLOOKUP(C13,Active!C$21:E$973,3,FALSE)</f>
        <v>17.493998872695947</v>
      </c>
      <c r="F13" s="3" t="s">
        <v>72</v>
      </c>
      <c r="G13" s="7" t="str">
        <f t="shared" si="4"/>
        <v>47937.347</v>
      </c>
      <c r="H13" s="5">
        <f t="shared" si="5"/>
        <v>-1081.5</v>
      </c>
      <c r="I13" s="27" t="s">
        <v>163</v>
      </c>
      <c r="J13" s="28" t="s">
        <v>164</v>
      </c>
      <c r="K13" s="27">
        <v>-1081.5</v>
      </c>
      <c r="L13" s="27" t="s">
        <v>165</v>
      </c>
      <c r="M13" s="28" t="s">
        <v>133</v>
      </c>
      <c r="N13" s="28"/>
      <c r="O13" s="29" t="s">
        <v>166</v>
      </c>
      <c r="P13" s="29" t="s">
        <v>167</v>
      </c>
    </row>
    <row r="14" spans="1:16" ht="12.75" customHeight="1" thickBot="1" x14ac:dyDescent="0.25">
      <c r="A14" s="5" t="str">
        <f t="shared" si="0"/>
        <v> BBS 113 </v>
      </c>
      <c r="B14" s="3" t="str">
        <f t="shared" si="1"/>
        <v>II</v>
      </c>
      <c r="C14" s="5">
        <f t="shared" si="2"/>
        <v>48093.578000000001</v>
      </c>
      <c r="D14" s="7" t="str">
        <f t="shared" si="3"/>
        <v>vis</v>
      </c>
      <c r="E14" s="26">
        <f>VLOOKUP(C14,Active!C$21:E$973,3,FALSE)</f>
        <v>54.497856683149976</v>
      </c>
      <c r="F14" s="3" t="s">
        <v>72</v>
      </c>
      <c r="G14" s="7" t="str">
        <f t="shared" si="4"/>
        <v>48093.578</v>
      </c>
      <c r="H14" s="5">
        <f t="shared" si="5"/>
        <v>-1044.5</v>
      </c>
      <c r="I14" s="27" t="s">
        <v>168</v>
      </c>
      <c r="J14" s="28" t="s">
        <v>169</v>
      </c>
      <c r="K14" s="27">
        <v>-1044.5</v>
      </c>
      <c r="L14" s="27" t="s">
        <v>170</v>
      </c>
      <c r="M14" s="28" t="s">
        <v>133</v>
      </c>
      <c r="N14" s="28"/>
      <c r="O14" s="29" t="s">
        <v>166</v>
      </c>
      <c r="P14" s="29" t="s">
        <v>167</v>
      </c>
    </row>
    <row r="15" spans="1:16" ht="12.75" customHeight="1" thickBot="1" x14ac:dyDescent="0.25">
      <c r="A15" s="5" t="str">
        <f t="shared" si="0"/>
        <v> BBS 98 </v>
      </c>
      <c r="B15" s="3" t="str">
        <f t="shared" si="1"/>
        <v>I</v>
      </c>
      <c r="C15" s="5">
        <f t="shared" si="2"/>
        <v>48454.572999999997</v>
      </c>
      <c r="D15" s="7" t="str">
        <f t="shared" si="3"/>
        <v>vis</v>
      </c>
      <c r="E15" s="26">
        <f>VLOOKUP(C15,Active!C$21:E$973,3,FALSE)</f>
        <v>140.00078280078796</v>
      </c>
      <c r="F15" s="3" t="s">
        <v>72</v>
      </c>
      <c r="G15" s="7" t="str">
        <f t="shared" si="4"/>
        <v>48454.573</v>
      </c>
      <c r="H15" s="5">
        <f t="shared" si="5"/>
        <v>-959</v>
      </c>
      <c r="I15" s="27" t="s">
        <v>201</v>
      </c>
      <c r="J15" s="28" t="s">
        <v>202</v>
      </c>
      <c r="K15" s="27">
        <v>-959</v>
      </c>
      <c r="L15" s="27" t="s">
        <v>203</v>
      </c>
      <c r="M15" s="28" t="s">
        <v>133</v>
      </c>
      <c r="N15" s="28"/>
      <c r="O15" s="29" t="s">
        <v>204</v>
      </c>
      <c r="P15" s="29" t="s">
        <v>205</v>
      </c>
    </row>
    <row r="16" spans="1:16" ht="12.75" customHeight="1" thickBot="1" x14ac:dyDescent="0.25">
      <c r="A16" s="5" t="str">
        <f t="shared" si="0"/>
        <v> BBS 106 </v>
      </c>
      <c r="B16" s="3" t="str">
        <f t="shared" si="1"/>
        <v>II</v>
      </c>
      <c r="C16" s="5">
        <f t="shared" si="2"/>
        <v>48490.451000000001</v>
      </c>
      <c r="D16" s="7" t="str">
        <f t="shared" si="3"/>
        <v>vis</v>
      </c>
      <c r="E16" s="26">
        <f>VLOOKUP(C16,Active!C$21:E$973,3,FALSE)</f>
        <v>148.4986123642141</v>
      </c>
      <c r="F16" s="3" t="s">
        <v>72</v>
      </c>
      <c r="G16" s="7" t="str">
        <f t="shared" si="4"/>
        <v>48490.451</v>
      </c>
      <c r="H16" s="5">
        <f t="shared" si="5"/>
        <v>-950.5</v>
      </c>
      <c r="I16" s="27" t="s">
        <v>206</v>
      </c>
      <c r="J16" s="28" t="s">
        <v>207</v>
      </c>
      <c r="K16" s="27">
        <v>-950.5</v>
      </c>
      <c r="L16" s="27" t="s">
        <v>94</v>
      </c>
      <c r="M16" s="28" t="s">
        <v>133</v>
      </c>
      <c r="N16" s="28"/>
      <c r="O16" s="29" t="s">
        <v>166</v>
      </c>
      <c r="P16" s="29" t="s">
        <v>208</v>
      </c>
    </row>
    <row r="17" spans="1:16" ht="12.75" customHeight="1" thickBot="1" x14ac:dyDescent="0.25">
      <c r="A17" s="5" t="str">
        <f t="shared" si="0"/>
        <v> BBS 100 </v>
      </c>
      <c r="B17" s="3" t="str">
        <f t="shared" si="1"/>
        <v>II</v>
      </c>
      <c r="C17" s="5">
        <f t="shared" si="2"/>
        <v>48507.351000000002</v>
      </c>
      <c r="D17" s="7" t="str">
        <f t="shared" si="3"/>
        <v>vis</v>
      </c>
      <c r="E17" s="26">
        <f>VLOOKUP(C17,Active!C$21:E$973,3,FALSE)</f>
        <v>152.50143636839206</v>
      </c>
      <c r="F17" s="3" t="s">
        <v>72</v>
      </c>
      <c r="G17" s="7" t="str">
        <f t="shared" si="4"/>
        <v>48507.351</v>
      </c>
      <c r="H17" s="5">
        <f t="shared" si="5"/>
        <v>-946.5</v>
      </c>
      <c r="I17" s="27" t="s">
        <v>216</v>
      </c>
      <c r="J17" s="28" t="s">
        <v>217</v>
      </c>
      <c r="K17" s="27">
        <v>-946.5</v>
      </c>
      <c r="L17" s="27" t="s">
        <v>115</v>
      </c>
      <c r="M17" s="28" t="s">
        <v>133</v>
      </c>
      <c r="N17" s="28"/>
      <c r="O17" s="29" t="s">
        <v>204</v>
      </c>
      <c r="P17" s="29" t="s">
        <v>218</v>
      </c>
    </row>
    <row r="18" spans="1:16" ht="12.75" customHeight="1" thickBot="1" x14ac:dyDescent="0.25">
      <c r="A18" s="5" t="str">
        <f t="shared" si="0"/>
        <v> BBS 106 </v>
      </c>
      <c r="B18" s="3" t="str">
        <f t="shared" si="1"/>
        <v>I</v>
      </c>
      <c r="C18" s="5">
        <f t="shared" si="2"/>
        <v>48509.447999999997</v>
      </c>
      <c r="D18" s="7" t="str">
        <f t="shared" si="3"/>
        <v>vis</v>
      </c>
      <c r="E18" s="26">
        <f>VLOOKUP(C18,Active!C$21:E$973,3,FALSE)</f>
        <v>152.99811813979667</v>
      </c>
      <c r="F18" s="3" t="s">
        <v>72</v>
      </c>
      <c r="G18" s="7" t="str">
        <f t="shared" si="4"/>
        <v>48509.448</v>
      </c>
      <c r="H18" s="5">
        <f t="shared" si="5"/>
        <v>-946</v>
      </c>
      <c r="I18" s="27" t="s">
        <v>219</v>
      </c>
      <c r="J18" s="28" t="s">
        <v>220</v>
      </c>
      <c r="K18" s="27">
        <v>-946</v>
      </c>
      <c r="L18" s="27" t="s">
        <v>103</v>
      </c>
      <c r="M18" s="28" t="s">
        <v>133</v>
      </c>
      <c r="N18" s="28"/>
      <c r="O18" s="29" t="s">
        <v>166</v>
      </c>
      <c r="P18" s="29" t="s">
        <v>208</v>
      </c>
    </row>
    <row r="19" spans="1:16" ht="12.75" customHeight="1" thickBot="1" x14ac:dyDescent="0.25">
      <c r="A19" s="5" t="str">
        <f t="shared" si="0"/>
        <v> BBS 100 </v>
      </c>
      <c r="B19" s="3" t="str">
        <f t="shared" si="1"/>
        <v>I</v>
      </c>
      <c r="C19" s="5">
        <f t="shared" si="2"/>
        <v>48509.453999999998</v>
      </c>
      <c r="D19" s="7" t="str">
        <f t="shared" si="3"/>
        <v>vis</v>
      </c>
      <c r="E19" s="26">
        <f>VLOOKUP(C19,Active!C$21:E$973,3,FALSE)</f>
        <v>152.99953926074519</v>
      </c>
      <c r="F19" s="3" t="s">
        <v>72</v>
      </c>
      <c r="G19" s="7" t="str">
        <f t="shared" si="4"/>
        <v>48509.454</v>
      </c>
      <c r="H19" s="5">
        <f t="shared" si="5"/>
        <v>-946</v>
      </c>
      <c r="I19" s="27" t="s">
        <v>221</v>
      </c>
      <c r="J19" s="28" t="s">
        <v>222</v>
      </c>
      <c r="K19" s="27">
        <v>-946</v>
      </c>
      <c r="L19" s="27" t="s">
        <v>223</v>
      </c>
      <c r="M19" s="28" t="s">
        <v>133</v>
      </c>
      <c r="N19" s="28"/>
      <c r="O19" s="29" t="s">
        <v>204</v>
      </c>
      <c r="P19" s="29" t="s">
        <v>218</v>
      </c>
    </row>
    <row r="20" spans="1:16" ht="12.75" customHeight="1" thickBot="1" x14ac:dyDescent="0.25">
      <c r="A20" s="5" t="str">
        <f t="shared" si="0"/>
        <v> BBS 100 </v>
      </c>
      <c r="B20" s="3" t="str">
        <f t="shared" si="1"/>
        <v>I</v>
      </c>
      <c r="C20" s="5">
        <f t="shared" si="2"/>
        <v>48602.35</v>
      </c>
      <c r="D20" s="7" t="str">
        <f t="shared" si="3"/>
        <v>vis</v>
      </c>
      <c r="E20" s="26">
        <f>VLOOKUP(C20,Active!C$21:E$973,3,FALSE)</f>
        <v>175.0022811951882</v>
      </c>
      <c r="F20" s="3" t="s">
        <v>72</v>
      </c>
      <c r="G20" s="7" t="str">
        <f t="shared" si="4"/>
        <v>48602.350</v>
      </c>
      <c r="H20" s="5">
        <f t="shared" si="5"/>
        <v>-924</v>
      </c>
      <c r="I20" s="27" t="s">
        <v>232</v>
      </c>
      <c r="J20" s="28" t="s">
        <v>233</v>
      </c>
      <c r="K20" s="27">
        <v>-924</v>
      </c>
      <c r="L20" s="27" t="s">
        <v>234</v>
      </c>
      <c r="M20" s="28" t="s">
        <v>133</v>
      </c>
      <c r="N20" s="28"/>
      <c r="O20" s="29" t="s">
        <v>235</v>
      </c>
      <c r="P20" s="29" t="s">
        <v>218</v>
      </c>
    </row>
    <row r="21" spans="1:16" ht="12.75" customHeight="1" thickBot="1" x14ac:dyDescent="0.25">
      <c r="A21" s="5" t="str">
        <f t="shared" si="0"/>
        <v> BBS 106 </v>
      </c>
      <c r="B21" s="3" t="str">
        <f t="shared" si="1"/>
        <v>I</v>
      </c>
      <c r="C21" s="5">
        <f t="shared" si="2"/>
        <v>48619.222999999998</v>
      </c>
      <c r="D21" s="7" t="str">
        <f t="shared" si="3"/>
        <v>vis</v>
      </c>
      <c r="E21" s="26">
        <f>VLOOKUP(C21,Active!C$21:E$973,3,FALSE)</f>
        <v>178.99871015509871</v>
      </c>
      <c r="F21" s="3" t="s">
        <v>72</v>
      </c>
      <c r="G21" s="7" t="str">
        <f t="shared" si="4"/>
        <v>48619.223</v>
      </c>
      <c r="H21" s="5">
        <f t="shared" si="5"/>
        <v>-920</v>
      </c>
      <c r="I21" s="27" t="s">
        <v>236</v>
      </c>
      <c r="J21" s="28" t="s">
        <v>237</v>
      </c>
      <c r="K21" s="27">
        <v>-920</v>
      </c>
      <c r="L21" s="27" t="s">
        <v>238</v>
      </c>
      <c r="M21" s="28" t="s">
        <v>133</v>
      </c>
      <c r="N21" s="28"/>
      <c r="O21" s="29" t="s">
        <v>166</v>
      </c>
      <c r="P21" s="29" t="s">
        <v>208</v>
      </c>
    </row>
    <row r="22" spans="1:16" ht="12.75" customHeight="1" thickBot="1" x14ac:dyDescent="0.25">
      <c r="A22" s="5" t="str">
        <f t="shared" si="0"/>
        <v> BBS 106 </v>
      </c>
      <c r="B22" s="3" t="str">
        <f t="shared" si="1"/>
        <v>II</v>
      </c>
      <c r="C22" s="5">
        <f t="shared" si="2"/>
        <v>48621.332000000002</v>
      </c>
      <c r="D22" s="7" t="str">
        <f t="shared" si="3"/>
        <v>vis</v>
      </c>
      <c r="E22" s="26">
        <f>VLOOKUP(C22,Active!C$21:E$973,3,FALSE)</f>
        <v>179.49823416840206</v>
      </c>
      <c r="F22" s="3" t="s">
        <v>72</v>
      </c>
      <c r="G22" s="7" t="str">
        <f t="shared" si="4"/>
        <v>48621.332</v>
      </c>
      <c r="H22" s="5">
        <f t="shared" si="5"/>
        <v>-919.5</v>
      </c>
      <c r="I22" s="27" t="s">
        <v>239</v>
      </c>
      <c r="J22" s="28" t="s">
        <v>240</v>
      </c>
      <c r="K22" s="27">
        <v>-919.5</v>
      </c>
      <c r="L22" s="27" t="s">
        <v>132</v>
      </c>
      <c r="M22" s="28" t="s">
        <v>133</v>
      </c>
      <c r="N22" s="28"/>
      <c r="O22" s="29" t="s">
        <v>166</v>
      </c>
      <c r="P22" s="29" t="s">
        <v>208</v>
      </c>
    </row>
    <row r="23" spans="1:16" ht="12.75" customHeight="1" thickBot="1" x14ac:dyDescent="0.25">
      <c r="A23" s="5" t="str">
        <f t="shared" si="0"/>
        <v> BBS 100 </v>
      </c>
      <c r="B23" s="3" t="str">
        <f t="shared" si="1"/>
        <v>II</v>
      </c>
      <c r="C23" s="5">
        <f t="shared" si="2"/>
        <v>48680.453099999999</v>
      </c>
      <c r="D23" s="7" t="str">
        <f t="shared" si="3"/>
        <v>vis</v>
      </c>
      <c r="E23" s="26">
        <f>VLOOKUP(C23,Active!C$21:E$973,3,FALSE)</f>
        <v>193.50127311712231</v>
      </c>
      <c r="F23" s="3" t="s">
        <v>72</v>
      </c>
      <c r="G23" s="7" t="str">
        <f t="shared" si="4"/>
        <v>48680.4531</v>
      </c>
      <c r="H23" s="5">
        <f t="shared" si="5"/>
        <v>-905.5</v>
      </c>
      <c r="I23" s="27" t="s">
        <v>241</v>
      </c>
      <c r="J23" s="28" t="s">
        <v>242</v>
      </c>
      <c r="K23" s="27">
        <v>-905.5</v>
      </c>
      <c r="L23" s="27" t="s">
        <v>243</v>
      </c>
      <c r="M23" s="28" t="s">
        <v>138</v>
      </c>
      <c r="N23" s="28" t="s">
        <v>31</v>
      </c>
      <c r="O23" s="29" t="s">
        <v>244</v>
      </c>
      <c r="P23" s="29" t="s">
        <v>218</v>
      </c>
    </row>
    <row r="24" spans="1:16" ht="12.75" customHeight="1" thickBot="1" x14ac:dyDescent="0.25">
      <c r="A24" s="5" t="str">
        <f t="shared" si="0"/>
        <v> BBS 103 </v>
      </c>
      <c r="B24" s="3" t="str">
        <f t="shared" si="1"/>
        <v>II</v>
      </c>
      <c r="C24" s="5">
        <f t="shared" si="2"/>
        <v>48946.423999999999</v>
      </c>
      <c r="D24" s="7" t="str">
        <f t="shared" si="3"/>
        <v>vis</v>
      </c>
      <c r="E24" s="26">
        <f>VLOOKUP(C24,Active!C$21:E$973,3,FALSE)</f>
        <v>256.49740938533103</v>
      </c>
      <c r="F24" s="3" t="s">
        <v>72</v>
      </c>
      <c r="G24" s="7" t="str">
        <f t="shared" si="4"/>
        <v>48946.424</v>
      </c>
      <c r="H24" s="5">
        <f t="shared" si="5"/>
        <v>-842.5</v>
      </c>
      <c r="I24" s="27" t="s">
        <v>245</v>
      </c>
      <c r="J24" s="28" t="s">
        <v>246</v>
      </c>
      <c r="K24" s="27">
        <v>-842.5</v>
      </c>
      <c r="L24" s="27" t="s">
        <v>247</v>
      </c>
      <c r="M24" s="28" t="s">
        <v>133</v>
      </c>
      <c r="N24" s="28"/>
      <c r="O24" s="29" t="s">
        <v>248</v>
      </c>
      <c r="P24" s="29" t="s">
        <v>249</v>
      </c>
    </row>
    <row r="25" spans="1:16" ht="12.75" customHeight="1" thickBot="1" x14ac:dyDescent="0.25">
      <c r="A25" s="5" t="str">
        <f t="shared" si="0"/>
        <v> BBS 103 </v>
      </c>
      <c r="B25" s="3" t="str">
        <f t="shared" si="1"/>
        <v>II</v>
      </c>
      <c r="C25" s="5">
        <f t="shared" si="2"/>
        <v>48984.440999999999</v>
      </c>
      <c r="D25" s="7" t="str">
        <f t="shared" si="3"/>
        <v>vis</v>
      </c>
      <c r="E25" s="26">
        <f>VLOOKUP(C25,Active!C$21:E$973,3,FALSE)</f>
        <v>265.50186856679966</v>
      </c>
      <c r="F25" s="3" t="s">
        <v>72</v>
      </c>
      <c r="G25" s="7" t="str">
        <f t="shared" si="4"/>
        <v>48984.441</v>
      </c>
      <c r="H25" s="5">
        <f t="shared" si="5"/>
        <v>-833.5</v>
      </c>
      <c r="I25" s="27" t="s">
        <v>250</v>
      </c>
      <c r="J25" s="28" t="s">
        <v>251</v>
      </c>
      <c r="K25" s="27">
        <v>-833.5</v>
      </c>
      <c r="L25" s="27" t="s">
        <v>252</v>
      </c>
      <c r="M25" s="28" t="s">
        <v>133</v>
      </c>
      <c r="N25" s="28"/>
      <c r="O25" s="29" t="s">
        <v>248</v>
      </c>
      <c r="P25" s="29" t="s">
        <v>249</v>
      </c>
    </row>
    <row r="26" spans="1:16" ht="12.75" customHeight="1" thickBot="1" x14ac:dyDescent="0.25">
      <c r="A26" s="5" t="str">
        <f t="shared" si="0"/>
        <v> BBS 104 </v>
      </c>
      <c r="B26" s="3" t="str">
        <f t="shared" si="1"/>
        <v>I</v>
      </c>
      <c r="C26" s="5">
        <f t="shared" si="2"/>
        <v>49041.427000000003</v>
      </c>
      <c r="D26" s="7" t="str">
        <f t="shared" si="3"/>
        <v>vis</v>
      </c>
      <c r="E26" s="26">
        <f>VLOOKUP(C26,Active!C$21:E$973,3,FALSE)</f>
        <v>278.99920162609453</v>
      </c>
      <c r="F26" s="3" t="s">
        <v>72</v>
      </c>
      <c r="G26" s="7" t="str">
        <f t="shared" si="4"/>
        <v>49041.427</v>
      </c>
      <c r="H26" s="5">
        <f t="shared" si="5"/>
        <v>-820</v>
      </c>
      <c r="I26" s="27" t="s">
        <v>253</v>
      </c>
      <c r="J26" s="28" t="s">
        <v>254</v>
      </c>
      <c r="K26" s="27">
        <v>-820</v>
      </c>
      <c r="L26" s="27" t="s">
        <v>73</v>
      </c>
      <c r="M26" s="28" t="s">
        <v>133</v>
      </c>
      <c r="N26" s="28"/>
      <c r="O26" s="29" t="s">
        <v>235</v>
      </c>
      <c r="P26" s="29" t="s">
        <v>255</v>
      </c>
    </row>
    <row r="27" spans="1:16" ht="12.75" customHeight="1" thickBot="1" x14ac:dyDescent="0.25">
      <c r="A27" s="5" t="str">
        <f t="shared" si="0"/>
        <v> BBS 107 </v>
      </c>
      <c r="B27" s="3" t="str">
        <f t="shared" si="1"/>
        <v>I</v>
      </c>
      <c r="C27" s="5">
        <f t="shared" si="2"/>
        <v>49400.303999999996</v>
      </c>
      <c r="D27" s="7" t="str">
        <f t="shared" si="3"/>
        <v>vis</v>
      </c>
      <c r="E27" s="26">
        <f>VLOOKUP(C27,Active!C$21:E$973,3,FALSE)</f>
        <v>364.00047204900727</v>
      </c>
      <c r="F27" s="3" t="s">
        <v>72</v>
      </c>
      <c r="G27" s="7" t="str">
        <f t="shared" si="4"/>
        <v>49400.304</v>
      </c>
      <c r="H27" s="5">
        <f t="shared" si="5"/>
        <v>-735</v>
      </c>
      <c r="I27" s="27" t="s">
        <v>271</v>
      </c>
      <c r="J27" s="28" t="s">
        <v>272</v>
      </c>
      <c r="K27" s="27">
        <v>-735</v>
      </c>
      <c r="L27" s="27" t="s">
        <v>273</v>
      </c>
      <c r="M27" s="28" t="s">
        <v>133</v>
      </c>
      <c r="N27" s="28"/>
      <c r="O27" s="29" t="s">
        <v>235</v>
      </c>
      <c r="P27" s="29" t="s">
        <v>274</v>
      </c>
    </row>
    <row r="28" spans="1:16" ht="12.75" customHeight="1" thickBot="1" x14ac:dyDescent="0.25">
      <c r="A28" s="5" t="str">
        <f t="shared" si="0"/>
        <v> BBS 111 </v>
      </c>
      <c r="B28" s="3" t="str">
        <f t="shared" si="1"/>
        <v>II</v>
      </c>
      <c r="C28" s="5">
        <f t="shared" si="2"/>
        <v>50027.275000000001</v>
      </c>
      <c r="D28" s="7" t="str">
        <f t="shared" si="3"/>
        <v>vis</v>
      </c>
      <c r="E28" s="26">
        <f>VLOOKUP(C28,Active!C$21:E$973,3,FALSE)</f>
        <v>512.50074238766217</v>
      </c>
      <c r="F28" s="3" t="s">
        <v>72</v>
      </c>
      <c r="G28" s="7" t="str">
        <f t="shared" si="4"/>
        <v>50027.275</v>
      </c>
      <c r="H28" s="5">
        <f t="shared" si="5"/>
        <v>-586.5</v>
      </c>
      <c r="I28" s="27" t="s">
        <v>279</v>
      </c>
      <c r="J28" s="28" t="s">
        <v>280</v>
      </c>
      <c r="K28" s="27">
        <v>-586.5</v>
      </c>
      <c r="L28" s="27" t="s">
        <v>281</v>
      </c>
      <c r="M28" s="28" t="s">
        <v>133</v>
      </c>
      <c r="N28" s="28"/>
      <c r="O28" s="29" t="s">
        <v>282</v>
      </c>
      <c r="P28" s="29" t="s">
        <v>283</v>
      </c>
    </row>
    <row r="29" spans="1:16" ht="12.75" customHeight="1" thickBot="1" x14ac:dyDescent="0.25">
      <c r="A29" s="5" t="str">
        <f t="shared" si="0"/>
        <v>BAVM 118 </v>
      </c>
      <c r="B29" s="3" t="str">
        <f t="shared" si="1"/>
        <v>II</v>
      </c>
      <c r="C29" s="5">
        <f t="shared" si="2"/>
        <v>51171.439299999998</v>
      </c>
      <c r="D29" s="7" t="str">
        <f t="shared" si="3"/>
        <v>vis</v>
      </c>
      <c r="E29" s="26">
        <f>VLOOKUP(C29,Active!C$21:E$973,3,FALSE)</f>
        <v>783.50005154524047</v>
      </c>
      <c r="F29" s="3" t="s">
        <v>72</v>
      </c>
      <c r="G29" s="7" t="str">
        <f t="shared" si="4"/>
        <v>51171.4393</v>
      </c>
      <c r="H29" s="5">
        <f t="shared" si="5"/>
        <v>-315.5</v>
      </c>
      <c r="I29" s="27" t="s">
        <v>284</v>
      </c>
      <c r="J29" s="28" t="s">
        <v>285</v>
      </c>
      <c r="K29" s="27">
        <v>-315.5</v>
      </c>
      <c r="L29" s="27" t="s">
        <v>286</v>
      </c>
      <c r="M29" s="28" t="s">
        <v>138</v>
      </c>
      <c r="N29" s="28" t="s">
        <v>162</v>
      </c>
      <c r="O29" s="29" t="s">
        <v>157</v>
      </c>
      <c r="P29" s="30" t="s">
        <v>287</v>
      </c>
    </row>
    <row r="30" spans="1:16" ht="12.75" customHeight="1" thickBot="1" x14ac:dyDescent="0.25">
      <c r="A30" s="5" t="str">
        <f t="shared" si="0"/>
        <v>BAVM 204 </v>
      </c>
      <c r="B30" s="3" t="str">
        <f t="shared" si="1"/>
        <v>I</v>
      </c>
      <c r="C30" s="5">
        <f t="shared" si="2"/>
        <v>54652.489000000001</v>
      </c>
      <c r="D30" s="7" t="str">
        <f t="shared" si="3"/>
        <v>vis</v>
      </c>
      <c r="E30" s="26">
        <f>VLOOKUP(C30,Active!C$21:E$973,3,FALSE)</f>
        <v>1607.998826627804</v>
      </c>
      <c r="F30" s="3" t="s">
        <v>72</v>
      </c>
      <c r="G30" s="7" t="str">
        <f t="shared" si="4"/>
        <v>54652.489</v>
      </c>
      <c r="H30" s="5">
        <f t="shared" si="5"/>
        <v>509</v>
      </c>
      <c r="I30" s="27" t="s">
        <v>288</v>
      </c>
      <c r="J30" s="28" t="s">
        <v>289</v>
      </c>
      <c r="K30" s="27">
        <v>509</v>
      </c>
      <c r="L30" s="27" t="s">
        <v>73</v>
      </c>
      <c r="M30" s="28" t="s">
        <v>133</v>
      </c>
      <c r="N30" s="28"/>
      <c r="O30" s="29" t="s">
        <v>290</v>
      </c>
      <c r="P30" s="30" t="s">
        <v>291</v>
      </c>
    </row>
    <row r="31" spans="1:16" ht="12.75" customHeight="1" thickBot="1" x14ac:dyDescent="0.25">
      <c r="A31" s="5" t="str">
        <f t="shared" si="0"/>
        <v>BAVM 234 </v>
      </c>
      <c r="B31" s="3" t="str">
        <f t="shared" si="1"/>
        <v>II</v>
      </c>
      <c r="C31" s="5">
        <f t="shared" si="2"/>
        <v>56592.508399999999</v>
      </c>
      <c r="D31" s="7" t="str">
        <f t="shared" si="3"/>
        <v>vis</v>
      </c>
      <c r="E31" s="26">
        <f>VLOOKUP(C31,Active!C$21:E$973,3,FALSE)</f>
        <v>2067.4991948461625</v>
      </c>
      <c r="F31" s="3" t="s">
        <v>72</v>
      </c>
      <c r="G31" s="7" t="str">
        <f t="shared" si="4"/>
        <v>56592.5084</v>
      </c>
      <c r="H31" s="5">
        <f t="shared" si="5"/>
        <v>968.5</v>
      </c>
      <c r="I31" s="27" t="s">
        <v>292</v>
      </c>
      <c r="J31" s="28" t="s">
        <v>293</v>
      </c>
      <c r="K31" s="27">
        <v>968.5</v>
      </c>
      <c r="L31" s="27" t="s">
        <v>200</v>
      </c>
      <c r="M31" s="28" t="s">
        <v>294</v>
      </c>
      <c r="N31" s="28" t="s">
        <v>295</v>
      </c>
      <c r="O31" s="29" t="s">
        <v>157</v>
      </c>
      <c r="P31" s="30" t="s">
        <v>296</v>
      </c>
    </row>
    <row r="32" spans="1:16" ht="12.75" customHeight="1" thickBot="1" x14ac:dyDescent="0.25">
      <c r="A32" s="5" t="str">
        <f t="shared" si="0"/>
        <v>BAVM 234 </v>
      </c>
      <c r="B32" s="3" t="str">
        <f t="shared" si="1"/>
        <v>II</v>
      </c>
      <c r="C32" s="5">
        <f t="shared" si="2"/>
        <v>56630.5098</v>
      </c>
      <c r="D32" s="7" t="str">
        <f t="shared" si="3"/>
        <v>CCD</v>
      </c>
      <c r="E32" s="26">
        <f>VLOOKUP(C32,Active!C$21:E$973,3,FALSE)</f>
        <v>2076.4999591131659</v>
      </c>
      <c r="F32" s="3" t="str">
        <f>LEFT(M32,1)</f>
        <v>C</v>
      </c>
      <c r="G32" s="7" t="str">
        <f t="shared" si="4"/>
        <v>56630.5098</v>
      </c>
      <c r="H32" s="5">
        <f t="shared" si="5"/>
        <v>977.5</v>
      </c>
      <c r="I32" s="27" t="s">
        <v>297</v>
      </c>
      <c r="J32" s="28" t="s">
        <v>298</v>
      </c>
      <c r="K32" s="27" t="s">
        <v>299</v>
      </c>
      <c r="L32" s="27" t="s">
        <v>300</v>
      </c>
      <c r="M32" s="28" t="s">
        <v>294</v>
      </c>
      <c r="N32" s="28" t="s">
        <v>295</v>
      </c>
      <c r="O32" s="29" t="s">
        <v>157</v>
      </c>
      <c r="P32" s="30" t="s">
        <v>296</v>
      </c>
    </row>
    <row r="33" spans="1:16" ht="12.75" customHeight="1" thickBot="1" x14ac:dyDescent="0.25">
      <c r="A33" s="5" t="str">
        <f t="shared" si="0"/>
        <v>BAVM 239 </v>
      </c>
      <c r="B33" s="3" t="str">
        <f t="shared" si="1"/>
        <v>II</v>
      </c>
      <c r="C33" s="5">
        <f t="shared" si="2"/>
        <v>56934.493499999997</v>
      </c>
      <c r="D33" s="7" t="str">
        <f t="shared" si="3"/>
        <v>CCD</v>
      </c>
      <c r="E33" s="26">
        <f>VLOOKUP(C33,Active!C$21:E$973,3,FALSE)</f>
        <v>2148.4995597781785</v>
      </c>
      <c r="F33" s="3" t="str">
        <f>LEFT(M33,1)</f>
        <v>C</v>
      </c>
      <c r="G33" s="7" t="str">
        <f t="shared" si="4"/>
        <v>56934.4935</v>
      </c>
      <c r="H33" s="5">
        <f t="shared" si="5"/>
        <v>1049.5</v>
      </c>
      <c r="I33" s="27" t="s">
        <v>301</v>
      </c>
      <c r="J33" s="28" t="s">
        <v>302</v>
      </c>
      <c r="K33" s="27" t="s">
        <v>303</v>
      </c>
      <c r="L33" s="27" t="s">
        <v>304</v>
      </c>
      <c r="M33" s="28" t="s">
        <v>294</v>
      </c>
      <c r="N33" s="28" t="s">
        <v>295</v>
      </c>
      <c r="O33" s="29" t="s">
        <v>157</v>
      </c>
      <c r="P33" s="30" t="s">
        <v>305</v>
      </c>
    </row>
    <row r="34" spans="1:16" ht="12.75" customHeight="1" thickBot="1" x14ac:dyDescent="0.25">
      <c r="A34" s="5" t="str">
        <f t="shared" si="0"/>
        <v> AJ 114.793 </v>
      </c>
      <c r="B34" s="3" t="str">
        <f t="shared" si="1"/>
        <v>I</v>
      </c>
      <c r="C34" s="5">
        <f t="shared" si="2"/>
        <v>16468.538</v>
      </c>
      <c r="D34" s="7" t="str">
        <f t="shared" si="3"/>
        <v>vis</v>
      </c>
      <c r="E34" s="26">
        <f>VLOOKUP(C34,Active!C$21:E$973,3,FALSE)</f>
        <v>-7436.0032820788301</v>
      </c>
      <c r="F34" s="3" t="s">
        <v>72</v>
      </c>
      <c r="G34" s="7" t="str">
        <f t="shared" si="4"/>
        <v>16468.538</v>
      </c>
      <c r="H34" s="5">
        <f t="shared" si="5"/>
        <v>-8535</v>
      </c>
      <c r="I34" s="27" t="s">
        <v>74</v>
      </c>
      <c r="J34" s="28" t="s">
        <v>75</v>
      </c>
      <c r="K34" s="27">
        <v>-8535</v>
      </c>
      <c r="L34" s="27" t="s">
        <v>76</v>
      </c>
      <c r="M34" s="28" t="s">
        <v>77</v>
      </c>
      <c r="N34" s="28"/>
      <c r="O34" s="29" t="s">
        <v>78</v>
      </c>
      <c r="P34" s="29" t="s">
        <v>79</v>
      </c>
    </row>
    <row r="35" spans="1:16" ht="12.75" customHeight="1" thickBot="1" x14ac:dyDescent="0.25">
      <c r="A35" s="5" t="str">
        <f t="shared" si="0"/>
        <v> AJ 114.793 </v>
      </c>
      <c r="B35" s="3" t="str">
        <f t="shared" si="1"/>
        <v>II</v>
      </c>
      <c r="C35" s="5">
        <f t="shared" si="2"/>
        <v>16563.526000000002</v>
      </c>
      <c r="D35" s="7" t="str">
        <f t="shared" si="3"/>
        <v>vis</v>
      </c>
      <c r="E35" s="26">
        <f>VLOOKUP(C35,Active!C$21:E$973,3,FALSE)</f>
        <v>-7413.5050426404387</v>
      </c>
      <c r="F35" s="3" t="s">
        <v>72</v>
      </c>
      <c r="G35" s="7" t="str">
        <f t="shared" si="4"/>
        <v>16563.526</v>
      </c>
      <c r="H35" s="5">
        <f t="shared" si="5"/>
        <v>-8512.5</v>
      </c>
      <c r="I35" s="27" t="s">
        <v>80</v>
      </c>
      <c r="J35" s="28" t="s">
        <v>81</v>
      </c>
      <c r="K35" s="27">
        <v>-8512.5</v>
      </c>
      <c r="L35" s="27" t="s">
        <v>82</v>
      </c>
      <c r="M35" s="28" t="s">
        <v>77</v>
      </c>
      <c r="N35" s="28"/>
      <c r="O35" s="29" t="s">
        <v>78</v>
      </c>
      <c r="P35" s="29" t="s">
        <v>79</v>
      </c>
    </row>
    <row r="36" spans="1:16" ht="12.75" customHeight="1" thickBot="1" x14ac:dyDescent="0.25">
      <c r="A36" s="5" t="str">
        <f t="shared" si="0"/>
        <v> AJ 114.793 </v>
      </c>
      <c r="B36" s="3" t="str">
        <f t="shared" si="1"/>
        <v>II</v>
      </c>
      <c r="C36" s="5">
        <f t="shared" si="2"/>
        <v>16702.838</v>
      </c>
      <c r="D36" s="7" t="str">
        <f t="shared" si="3"/>
        <v>vis</v>
      </c>
      <c r="E36" s="26">
        <f>VLOOKUP(C36,Active!C$21:E$973,3,FALSE)</f>
        <v>-7380.5085090504981</v>
      </c>
      <c r="F36" s="3" t="s">
        <v>72</v>
      </c>
      <c r="G36" s="7" t="str">
        <f t="shared" si="4"/>
        <v>16702.838</v>
      </c>
      <c r="H36" s="5">
        <f t="shared" si="5"/>
        <v>-8479.5</v>
      </c>
      <c r="I36" s="27" t="s">
        <v>83</v>
      </c>
      <c r="J36" s="28" t="s">
        <v>84</v>
      </c>
      <c r="K36" s="27">
        <v>-8479.5</v>
      </c>
      <c r="L36" s="27" t="s">
        <v>85</v>
      </c>
      <c r="M36" s="28" t="s">
        <v>77</v>
      </c>
      <c r="N36" s="28"/>
      <c r="O36" s="29" t="s">
        <v>78</v>
      </c>
      <c r="P36" s="29" t="s">
        <v>79</v>
      </c>
    </row>
    <row r="37" spans="1:16" ht="12.75" customHeight="1" thickBot="1" x14ac:dyDescent="0.25">
      <c r="A37" s="5" t="str">
        <f t="shared" si="0"/>
        <v> AJ 114.793 </v>
      </c>
      <c r="B37" s="3" t="str">
        <f t="shared" si="1"/>
        <v>II</v>
      </c>
      <c r="C37" s="5">
        <f t="shared" si="2"/>
        <v>18277.681</v>
      </c>
      <c r="D37" s="7" t="str">
        <f t="shared" si="3"/>
        <v>vis</v>
      </c>
      <c r="E37" s="26">
        <f>VLOOKUP(C37,Active!C$21:E$973,3,FALSE)</f>
        <v>-7007.501446138599</v>
      </c>
      <c r="F37" s="3" t="s">
        <v>72</v>
      </c>
      <c r="G37" s="7" t="str">
        <f t="shared" si="4"/>
        <v>18277.681</v>
      </c>
      <c r="H37" s="5">
        <f t="shared" si="5"/>
        <v>-8106.5</v>
      </c>
      <c r="I37" s="27" t="s">
        <v>86</v>
      </c>
      <c r="J37" s="28" t="s">
        <v>87</v>
      </c>
      <c r="K37" s="27">
        <v>-8106.5</v>
      </c>
      <c r="L37" s="27" t="s">
        <v>88</v>
      </c>
      <c r="M37" s="28" t="s">
        <v>77</v>
      </c>
      <c r="N37" s="28"/>
      <c r="O37" s="29" t="s">
        <v>78</v>
      </c>
      <c r="P37" s="29" t="s">
        <v>79</v>
      </c>
    </row>
    <row r="38" spans="1:16" ht="12.75" customHeight="1" thickBot="1" x14ac:dyDescent="0.25">
      <c r="A38" s="5" t="str">
        <f t="shared" si="0"/>
        <v> AJ 114.793 </v>
      </c>
      <c r="B38" s="3" t="str">
        <f t="shared" si="1"/>
        <v>I</v>
      </c>
      <c r="C38" s="5">
        <f t="shared" si="2"/>
        <v>18545.821</v>
      </c>
      <c r="D38" s="7" t="str">
        <f t="shared" si="3"/>
        <v>vis</v>
      </c>
      <c r="E38" s="26">
        <f>VLOOKUP(C38,Active!C$21:E$973,3,FALSE)</f>
        <v>-6943.991550962256</v>
      </c>
      <c r="F38" s="3" t="s">
        <v>72</v>
      </c>
      <c r="G38" s="7" t="str">
        <f t="shared" si="4"/>
        <v>18545.821</v>
      </c>
      <c r="H38" s="5">
        <f t="shared" si="5"/>
        <v>-8043</v>
      </c>
      <c r="I38" s="27" t="s">
        <v>89</v>
      </c>
      <c r="J38" s="28" t="s">
        <v>90</v>
      </c>
      <c r="K38" s="27">
        <v>-8043</v>
      </c>
      <c r="L38" s="27" t="s">
        <v>91</v>
      </c>
      <c r="M38" s="28" t="s">
        <v>77</v>
      </c>
      <c r="N38" s="28"/>
      <c r="O38" s="29" t="s">
        <v>78</v>
      </c>
      <c r="P38" s="29" t="s">
        <v>79</v>
      </c>
    </row>
    <row r="39" spans="1:16" ht="12.75" customHeight="1" thickBot="1" x14ac:dyDescent="0.25">
      <c r="A39" s="5" t="str">
        <f t="shared" si="0"/>
        <v> AJ 114.793 </v>
      </c>
      <c r="B39" s="3" t="str">
        <f t="shared" si="1"/>
        <v>I</v>
      </c>
      <c r="C39" s="5">
        <f t="shared" si="2"/>
        <v>19381.748</v>
      </c>
      <c r="D39" s="7" t="str">
        <f t="shared" si="3"/>
        <v>vis</v>
      </c>
      <c r="E39" s="26">
        <f>VLOOKUP(C39,Active!C$21:E$973,3,FALSE)</f>
        <v>-6745.9993224805885</v>
      </c>
      <c r="F39" s="3" t="s">
        <v>72</v>
      </c>
      <c r="G39" s="7" t="str">
        <f t="shared" si="4"/>
        <v>19381.748</v>
      </c>
      <c r="H39" s="5">
        <f t="shared" si="5"/>
        <v>-7845</v>
      </c>
      <c r="I39" s="27" t="s">
        <v>92</v>
      </c>
      <c r="J39" s="28" t="s">
        <v>93</v>
      </c>
      <c r="K39" s="27">
        <v>-7845</v>
      </c>
      <c r="L39" s="27" t="s">
        <v>94</v>
      </c>
      <c r="M39" s="28" t="s">
        <v>77</v>
      </c>
      <c r="N39" s="28"/>
      <c r="O39" s="29" t="s">
        <v>78</v>
      </c>
      <c r="P39" s="29" t="s">
        <v>79</v>
      </c>
    </row>
    <row r="40" spans="1:16" ht="12.75" customHeight="1" thickBot="1" x14ac:dyDescent="0.25">
      <c r="A40" s="5" t="str">
        <f t="shared" si="0"/>
        <v> AJ 114.793 </v>
      </c>
      <c r="B40" s="3" t="str">
        <f t="shared" si="1"/>
        <v>II</v>
      </c>
      <c r="C40" s="5">
        <f t="shared" si="2"/>
        <v>20409.848999999998</v>
      </c>
      <c r="D40" s="7" t="str">
        <f t="shared" si="3"/>
        <v>vis</v>
      </c>
      <c r="E40" s="26">
        <f>VLOOKUP(C40,Active!C$21:E$973,3,FALSE)</f>
        <v>-6502.4900111481029</v>
      </c>
      <c r="F40" s="3" t="s">
        <v>72</v>
      </c>
      <c r="G40" s="7" t="str">
        <f t="shared" si="4"/>
        <v>20409.849</v>
      </c>
      <c r="H40" s="5">
        <f t="shared" si="5"/>
        <v>-7601.5</v>
      </c>
      <c r="I40" s="27" t="s">
        <v>95</v>
      </c>
      <c r="J40" s="28" t="s">
        <v>96</v>
      </c>
      <c r="K40" s="27">
        <v>-7601.5</v>
      </c>
      <c r="L40" s="27" t="s">
        <v>97</v>
      </c>
      <c r="M40" s="28" t="s">
        <v>77</v>
      </c>
      <c r="N40" s="28"/>
      <c r="O40" s="29" t="s">
        <v>78</v>
      </c>
      <c r="P40" s="29" t="s">
        <v>79</v>
      </c>
    </row>
    <row r="41" spans="1:16" ht="12.75" customHeight="1" thickBot="1" x14ac:dyDescent="0.25">
      <c r="A41" s="5" t="str">
        <f t="shared" si="0"/>
        <v> AJ 114.793 </v>
      </c>
      <c r="B41" s="3" t="str">
        <f t="shared" si="1"/>
        <v>II</v>
      </c>
      <c r="C41" s="5">
        <f t="shared" si="2"/>
        <v>20751.811000000002</v>
      </c>
      <c r="D41" s="7" t="str">
        <f t="shared" si="3"/>
        <v>vis</v>
      </c>
      <c r="E41" s="26">
        <f>VLOOKUP(C41,Active!C$21:E$973,3,FALSE)</f>
        <v>-6421.4951175317356</v>
      </c>
      <c r="F41" s="3" t="s">
        <v>72</v>
      </c>
      <c r="G41" s="7" t="str">
        <f t="shared" si="4"/>
        <v>20751.811</v>
      </c>
      <c r="H41" s="5">
        <f t="shared" si="5"/>
        <v>-7520.5</v>
      </c>
      <c r="I41" s="27" t="s">
        <v>98</v>
      </c>
      <c r="J41" s="28" t="s">
        <v>99</v>
      </c>
      <c r="K41" s="27">
        <v>-7520.5</v>
      </c>
      <c r="L41" s="27" t="s">
        <v>100</v>
      </c>
      <c r="M41" s="28" t="s">
        <v>77</v>
      </c>
      <c r="N41" s="28"/>
      <c r="O41" s="29" t="s">
        <v>78</v>
      </c>
      <c r="P41" s="29" t="s">
        <v>79</v>
      </c>
    </row>
    <row r="42" spans="1:16" ht="12.75" customHeight="1" thickBot="1" x14ac:dyDescent="0.25">
      <c r="A42" s="5" t="str">
        <f t="shared" si="0"/>
        <v> AJ 114.793 </v>
      </c>
      <c r="B42" s="3" t="str">
        <f t="shared" si="1"/>
        <v>I</v>
      </c>
      <c r="C42" s="5">
        <f t="shared" si="2"/>
        <v>22197.831999999999</v>
      </c>
      <c r="D42" s="7" t="str">
        <f t="shared" si="3"/>
        <v>vis</v>
      </c>
      <c r="E42" s="26">
        <f>VLOOKUP(C42,Active!C$21:E$973,3,FALSE)</f>
        <v>-6078.9999950852907</v>
      </c>
      <c r="F42" s="3" t="s">
        <v>72</v>
      </c>
      <c r="G42" s="7" t="str">
        <f t="shared" si="4"/>
        <v>22197.832</v>
      </c>
      <c r="H42" s="5">
        <f t="shared" si="5"/>
        <v>-7178</v>
      </c>
      <c r="I42" s="27" t="s">
        <v>101</v>
      </c>
      <c r="J42" s="28" t="s">
        <v>102</v>
      </c>
      <c r="K42" s="27">
        <v>-7178</v>
      </c>
      <c r="L42" s="27" t="s">
        <v>103</v>
      </c>
      <c r="M42" s="28" t="s">
        <v>77</v>
      </c>
      <c r="N42" s="28"/>
      <c r="O42" s="29" t="s">
        <v>78</v>
      </c>
      <c r="P42" s="29" t="s">
        <v>79</v>
      </c>
    </row>
    <row r="43" spans="1:16" ht="12.75" customHeight="1" thickBot="1" x14ac:dyDescent="0.25">
      <c r="A43" s="5" t="str">
        <f t="shared" ref="A43:A79" si="6">P43</f>
        <v> AJ 114.793 </v>
      </c>
      <c r="B43" s="3" t="str">
        <f t="shared" ref="B43:B79" si="7">IF(H43=INT(H43),"I","II")</f>
        <v>II</v>
      </c>
      <c r="C43" s="5">
        <f t="shared" ref="C43:C79" si="8">1*G43</f>
        <v>28469.632000000001</v>
      </c>
      <c r="D43" s="7" t="str">
        <f t="shared" ref="D43:D79" si="9">VLOOKUP(F43,I$1:J$5,2,FALSE)</f>
        <v>vis</v>
      </c>
      <c r="E43" s="26">
        <f>VLOOKUP(C43,Active!C$21:E$973,3,FALSE)</f>
        <v>-4593.5022679017866</v>
      </c>
      <c r="F43" s="3" t="s">
        <v>72</v>
      </c>
      <c r="G43" s="7" t="str">
        <f t="shared" ref="G43:G79" si="10">MID(I43,3,LEN(I43)-3)</f>
        <v>28469.632</v>
      </c>
      <c r="H43" s="5">
        <f t="shared" ref="H43:H79" si="11">1*K43</f>
        <v>-5692.5</v>
      </c>
      <c r="I43" s="27" t="s">
        <v>104</v>
      </c>
      <c r="J43" s="28" t="s">
        <v>105</v>
      </c>
      <c r="K43" s="27">
        <v>-5692.5</v>
      </c>
      <c r="L43" s="27" t="s">
        <v>106</v>
      </c>
      <c r="M43" s="28" t="s">
        <v>77</v>
      </c>
      <c r="N43" s="28"/>
      <c r="O43" s="29" t="s">
        <v>78</v>
      </c>
      <c r="P43" s="29" t="s">
        <v>79</v>
      </c>
    </row>
    <row r="44" spans="1:16" ht="12.75" customHeight="1" thickBot="1" x14ac:dyDescent="0.25">
      <c r="A44" s="5" t="str">
        <f t="shared" si="6"/>
        <v> AJ 114.793 </v>
      </c>
      <c r="B44" s="3" t="str">
        <f t="shared" si="7"/>
        <v>I</v>
      </c>
      <c r="C44" s="5">
        <f t="shared" si="8"/>
        <v>28564.61</v>
      </c>
      <c r="D44" s="7" t="str">
        <f t="shared" si="9"/>
        <v>vis</v>
      </c>
      <c r="E44" s="26">
        <f>VLOOKUP(C44,Active!C$21:E$973,3,FALSE)</f>
        <v>-4571.0063969983084</v>
      </c>
      <c r="F44" s="3" t="s">
        <v>72</v>
      </c>
      <c r="G44" s="7" t="str">
        <f t="shared" si="10"/>
        <v>28564.610</v>
      </c>
      <c r="H44" s="5">
        <f t="shared" si="11"/>
        <v>-5670</v>
      </c>
      <c r="I44" s="27" t="s">
        <v>107</v>
      </c>
      <c r="J44" s="28" t="s">
        <v>108</v>
      </c>
      <c r="K44" s="27">
        <v>-5670</v>
      </c>
      <c r="L44" s="27" t="s">
        <v>109</v>
      </c>
      <c r="M44" s="28" t="s">
        <v>77</v>
      </c>
      <c r="N44" s="28"/>
      <c r="O44" s="29" t="s">
        <v>78</v>
      </c>
      <c r="P44" s="29" t="s">
        <v>79</v>
      </c>
    </row>
    <row r="45" spans="1:16" ht="12.75" customHeight="1" thickBot="1" x14ac:dyDescent="0.25">
      <c r="A45" s="5" t="str">
        <f t="shared" si="6"/>
        <v> AJ 114.793 </v>
      </c>
      <c r="B45" s="3" t="str">
        <f t="shared" si="7"/>
        <v>I</v>
      </c>
      <c r="C45" s="5">
        <f t="shared" si="8"/>
        <v>29193.705000000002</v>
      </c>
      <c r="D45" s="7" t="str">
        <f t="shared" si="9"/>
        <v>vis</v>
      </c>
      <c r="E45" s="26">
        <f>VLOOKUP(C45,Active!C$21:E$973,3,FALSE)</f>
        <v>-4422.0030498439819</v>
      </c>
      <c r="F45" s="3" t="s">
        <v>72</v>
      </c>
      <c r="G45" s="7" t="str">
        <f t="shared" si="10"/>
        <v>29193.705</v>
      </c>
      <c r="H45" s="5">
        <f t="shared" si="11"/>
        <v>-5521</v>
      </c>
      <c r="I45" s="27" t="s">
        <v>110</v>
      </c>
      <c r="J45" s="28" t="s">
        <v>111</v>
      </c>
      <c r="K45" s="27">
        <v>-5521</v>
      </c>
      <c r="L45" s="27" t="s">
        <v>112</v>
      </c>
      <c r="M45" s="28" t="s">
        <v>77</v>
      </c>
      <c r="N45" s="28"/>
      <c r="O45" s="29" t="s">
        <v>78</v>
      </c>
      <c r="P45" s="29" t="s">
        <v>79</v>
      </c>
    </row>
    <row r="46" spans="1:16" ht="12.75" customHeight="1" thickBot="1" x14ac:dyDescent="0.25">
      <c r="A46" s="5" t="str">
        <f t="shared" si="6"/>
        <v>IBVS 3442 </v>
      </c>
      <c r="B46" s="3" t="str">
        <f t="shared" si="7"/>
        <v>I</v>
      </c>
      <c r="C46" s="5">
        <f t="shared" si="8"/>
        <v>29535.713</v>
      </c>
      <c r="D46" s="7" t="str">
        <f t="shared" si="9"/>
        <v>vis</v>
      </c>
      <c r="E46" s="26">
        <f>VLOOKUP(C46,Active!C$21:E$973,3,FALSE)</f>
        <v>-4340.9972609670131</v>
      </c>
      <c r="F46" s="3" t="s">
        <v>72</v>
      </c>
      <c r="G46" s="7" t="str">
        <f t="shared" si="10"/>
        <v>29535.713</v>
      </c>
      <c r="H46" s="5">
        <f t="shared" si="11"/>
        <v>-5440</v>
      </c>
      <c r="I46" s="27" t="s">
        <v>113</v>
      </c>
      <c r="J46" s="28" t="s">
        <v>114</v>
      </c>
      <c r="K46" s="27">
        <v>-5440</v>
      </c>
      <c r="L46" s="27" t="s">
        <v>115</v>
      </c>
      <c r="M46" s="28" t="s">
        <v>77</v>
      </c>
      <c r="N46" s="28"/>
      <c r="O46" s="29" t="s">
        <v>116</v>
      </c>
      <c r="P46" s="30" t="s">
        <v>117</v>
      </c>
    </row>
    <row r="47" spans="1:16" ht="12.75" customHeight="1" thickBot="1" x14ac:dyDescent="0.25">
      <c r="A47" s="5" t="str">
        <f t="shared" si="6"/>
        <v>IBVS 3442 </v>
      </c>
      <c r="B47" s="3" t="str">
        <f t="shared" si="7"/>
        <v>I</v>
      </c>
      <c r="C47" s="5">
        <f t="shared" si="8"/>
        <v>29898.776000000002</v>
      </c>
      <c r="D47" s="7" t="str">
        <f t="shared" si="9"/>
        <v>vis</v>
      </c>
      <c r="E47" s="26">
        <f>VLOOKUP(C47,Active!C$21:E$973,3,FALSE)</f>
        <v>-4255.0045218292171</v>
      </c>
      <c r="F47" s="3" t="s">
        <v>72</v>
      </c>
      <c r="G47" s="7" t="str">
        <f t="shared" si="10"/>
        <v>29898.776</v>
      </c>
      <c r="H47" s="5">
        <f t="shared" si="11"/>
        <v>-5354</v>
      </c>
      <c r="I47" s="27" t="s">
        <v>118</v>
      </c>
      <c r="J47" s="28" t="s">
        <v>119</v>
      </c>
      <c r="K47" s="27">
        <v>-5354</v>
      </c>
      <c r="L47" s="27" t="s">
        <v>120</v>
      </c>
      <c r="M47" s="28" t="s">
        <v>77</v>
      </c>
      <c r="N47" s="28"/>
      <c r="O47" s="29" t="s">
        <v>116</v>
      </c>
      <c r="P47" s="30" t="s">
        <v>117</v>
      </c>
    </row>
    <row r="48" spans="1:16" ht="12.75" customHeight="1" thickBot="1" x14ac:dyDescent="0.25">
      <c r="A48" s="5" t="str">
        <f t="shared" si="6"/>
        <v>IBVS 3442 </v>
      </c>
      <c r="B48" s="3" t="str">
        <f t="shared" si="7"/>
        <v>I</v>
      </c>
      <c r="C48" s="5">
        <f t="shared" si="8"/>
        <v>30240.797999999999</v>
      </c>
      <c r="D48" s="7" t="str">
        <f t="shared" si="9"/>
        <v>vis</v>
      </c>
      <c r="E48" s="26">
        <f>VLOOKUP(C48,Active!C$21:E$973,3,FALSE)</f>
        <v>-4173.9954170033698</v>
      </c>
      <c r="F48" s="3" t="s">
        <v>72</v>
      </c>
      <c r="G48" s="7" t="str">
        <f t="shared" si="10"/>
        <v>30240.798</v>
      </c>
      <c r="H48" s="5">
        <f t="shared" si="11"/>
        <v>-5273</v>
      </c>
      <c r="I48" s="27" t="s">
        <v>121</v>
      </c>
      <c r="J48" s="28" t="s">
        <v>122</v>
      </c>
      <c r="K48" s="27">
        <v>-5273</v>
      </c>
      <c r="L48" s="27" t="s">
        <v>123</v>
      </c>
      <c r="M48" s="28" t="s">
        <v>77</v>
      </c>
      <c r="N48" s="28"/>
      <c r="O48" s="29" t="s">
        <v>116</v>
      </c>
      <c r="P48" s="30" t="s">
        <v>117</v>
      </c>
    </row>
    <row r="49" spans="1:16" ht="12.75" customHeight="1" thickBot="1" x14ac:dyDescent="0.25">
      <c r="A49" s="5" t="str">
        <f t="shared" si="6"/>
        <v>IBVS 3442 </v>
      </c>
      <c r="B49" s="3" t="str">
        <f t="shared" si="7"/>
        <v>I</v>
      </c>
      <c r="C49" s="5">
        <f t="shared" si="8"/>
        <v>47736.826000000001</v>
      </c>
      <c r="D49" s="7" t="str">
        <f t="shared" si="9"/>
        <v>vis</v>
      </c>
      <c r="E49" s="26">
        <f>VLOOKUP(C49,Active!C$21:E$973,3,FALSE)</f>
        <v>-30.000100070600119</v>
      </c>
      <c r="F49" s="3" t="s">
        <v>72</v>
      </c>
      <c r="G49" s="7" t="str">
        <f t="shared" si="10"/>
        <v>47736.826</v>
      </c>
      <c r="H49" s="5">
        <f t="shared" si="11"/>
        <v>-1129</v>
      </c>
      <c r="I49" s="27" t="s">
        <v>124</v>
      </c>
      <c r="J49" s="28" t="s">
        <v>125</v>
      </c>
      <c r="K49" s="27">
        <v>-1129</v>
      </c>
      <c r="L49" s="27" t="s">
        <v>126</v>
      </c>
      <c r="M49" s="28" t="s">
        <v>77</v>
      </c>
      <c r="N49" s="28"/>
      <c r="O49" s="29" t="s">
        <v>127</v>
      </c>
      <c r="P49" s="30" t="s">
        <v>117</v>
      </c>
    </row>
    <row r="50" spans="1:16" ht="12.75" customHeight="1" thickBot="1" x14ac:dyDescent="0.25">
      <c r="A50" s="5" t="str">
        <f t="shared" si="6"/>
        <v>IBVS 3442 </v>
      </c>
      <c r="B50" s="3" t="str">
        <f t="shared" si="7"/>
        <v>II</v>
      </c>
      <c r="C50" s="5">
        <f t="shared" si="8"/>
        <v>47789.586000000003</v>
      </c>
      <c r="D50" s="7" t="str">
        <f t="shared" si="9"/>
        <v>vis</v>
      </c>
      <c r="E50" s="26">
        <f>VLOOKUP(C50,Active!C$21:E$973,3,FALSE)</f>
        <v>-17.503709865841568</v>
      </c>
      <c r="F50" s="3" t="s">
        <v>72</v>
      </c>
      <c r="G50" s="7" t="str">
        <f t="shared" si="10"/>
        <v>47789.586</v>
      </c>
      <c r="H50" s="5">
        <f t="shared" si="11"/>
        <v>-1116.5</v>
      </c>
      <c r="I50" s="27" t="s">
        <v>128</v>
      </c>
      <c r="J50" s="28" t="s">
        <v>129</v>
      </c>
      <c r="K50" s="27">
        <v>-1116.5</v>
      </c>
      <c r="L50" s="27" t="s">
        <v>106</v>
      </c>
      <c r="M50" s="28" t="s">
        <v>77</v>
      </c>
      <c r="N50" s="28"/>
      <c r="O50" s="29" t="s">
        <v>127</v>
      </c>
      <c r="P50" s="30" t="s">
        <v>117</v>
      </c>
    </row>
    <row r="51" spans="1:16" ht="12.75" customHeight="1" thickBot="1" x14ac:dyDescent="0.25">
      <c r="A51" s="5" t="str">
        <f t="shared" si="6"/>
        <v>IBVS 3442 </v>
      </c>
      <c r="B51" s="3" t="str">
        <f t="shared" si="7"/>
        <v>I</v>
      </c>
      <c r="C51" s="5">
        <f t="shared" si="8"/>
        <v>47808.593999999997</v>
      </c>
      <c r="D51" s="7" t="str">
        <f t="shared" si="9"/>
        <v>vis</v>
      </c>
      <c r="E51" s="26">
        <f>VLOOKUP(C51,Active!C$21:E$973,3,FALSE)</f>
        <v>-13.001598701854254</v>
      </c>
      <c r="F51" s="3" t="s">
        <v>72</v>
      </c>
      <c r="G51" s="7" t="str">
        <f t="shared" si="10"/>
        <v>47808.594</v>
      </c>
      <c r="H51" s="5">
        <f t="shared" si="11"/>
        <v>-1112</v>
      </c>
      <c r="I51" s="27" t="s">
        <v>130</v>
      </c>
      <c r="J51" s="28" t="s">
        <v>131</v>
      </c>
      <c r="K51" s="27">
        <v>-1112</v>
      </c>
      <c r="L51" s="27" t="s">
        <v>132</v>
      </c>
      <c r="M51" s="28" t="s">
        <v>133</v>
      </c>
      <c r="N51" s="28"/>
      <c r="O51" s="29" t="s">
        <v>134</v>
      </c>
      <c r="P51" s="30" t="s">
        <v>117</v>
      </c>
    </row>
    <row r="52" spans="1:16" ht="12.75" customHeight="1" thickBot="1" x14ac:dyDescent="0.25">
      <c r="A52" s="5" t="str">
        <f t="shared" si="6"/>
        <v>IBVS 3442 </v>
      </c>
      <c r="B52" s="3" t="str">
        <f t="shared" si="7"/>
        <v>I</v>
      </c>
      <c r="C52" s="5">
        <f t="shared" si="8"/>
        <v>47808.606</v>
      </c>
      <c r="D52" s="7" t="str">
        <f t="shared" si="9"/>
        <v>vis</v>
      </c>
      <c r="E52" s="26">
        <f>VLOOKUP(C52,Active!C$21:E$973,3,FALSE)</f>
        <v>-12.998756459957217</v>
      </c>
      <c r="F52" s="3" t="s">
        <v>72</v>
      </c>
      <c r="G52" s="7" t="str">
        <f t="shared" si="10"/>
        <v>47808.606</v>
      </c>
      <c r="H52" s="5">
        <f t="shared" si="11"/>
        <v>-1112</v>
      </c>
      <c r="I52" s="27" t="s">
        <v>142</v>
      </c>
      <c r="J52" s="28" t="s">
        <v>143</v>
      </c>
      <c r="K52" s="27">
        <v>-1112</v>
      </c>
      <c r="L52" s="27" t="s">
        <v>144</v>
      </c>
      <c r="M52" s="28" t="s">
        <v>133</v>
      </c>
      <c r="N52" s="28"/>
      <c r="O52" s="29" t="s">
        <v>127</v>
      </c>
      <c r="P52" s="30" t="s">
        <v>117</v>
      </c>
    </row>
    <row r="53" spans="1:16" ht="12.75" customHeight="1" thickBot="1" x14ac:dyDescent="0.25">
      <c r="A53" s="5" t="str">
        <f t="shared" si="6"/>
        <v>IBVS 3442 </v>
      </c>
      <c r="B53" s="3" t="str">
        <f t="shared" si="7"/>
        <v>I</v>
      </c>
      <c r="C53" s="5">
        <f t="shared" si="8"/>
        <v>47808.608</v>
      </c>
      <c r="D53" s="7" t="str">
        <f t="shared" si="9"/>
        <v>vis</v>
      </c>
      <c r="E53" s="26">
        <f>VLOOKUP(C53,Active!C$21:E$973,3,FALSE)</f>
        <v>-12.998282752974378</v>
      </c>
      <c r="F53" s="3" t="s">
        <v>72</v>
      </c>
      <c r="G53" s="7" t="str">
        <f t="shared" si="10"/>
        <v>47808.608</v>
      </c>
      <c r="H53" s="5">
        <f t="shared" si="11"/>
        <v>-1112</v>
      </c>
      <c r="I53" s="27" t="s">
        <v>145</v>
      </c>
      <c r="J53" s="28" t="s">
        <v>146</v>
      </c>
      <c r="K53" s="27">
        <v>-1112</v>
      </c>
      <c r="L53" s="27" t="s">
        <v>147</v>
      </c>
      <c r="M53" s="28" t="s">
        <v>133</v>
      </c>
      <c r="N53" s="28"/>
      <c r="O53" s="29" t="s">
        <v>148</v>
      </c>
      <c r="P53" s="30" t="s">
        <v>117</v>
      </c>
    </row>
    <row r="54" spans="1:16" ht="12.75" customHeight="1" thickBot="1" x14ac:dyDescent="0.25">
      <c r="A54" s="5" t="str">
        <f t="shared" si="6"/>
        <v>IBVS 3442 </v>
      </c>
      <c r="B54" s="3" t="str">
        <f t="shared" si="7"/>
        <v>I</v>
      </c>
      <c r="C54" s="5">
        <f t="shared" si="8"/>
        <v>47922.57</v>
      </c>
      <c r="D54" s="7" t="str">
        <f t="shared" si="9"/>
        <v>vis</v>
      </c>
      <c r="E54" s="26">
        <f>VLOOKUP(C54,Active!C$21:E$973,3,FALSE)</f>
        <v>13.994014830699486</v>
      </c>
      <c r="F54" s="3" t="s">
        <v>72</v>
      </c>
      <c r="G54" s="7" t="str">
        <f t="shared" si="10"/>
        <v>47922.570</v>
      </c>
      <c r="H54" s="5">
        <f t="shared" si="11"/>
        <v>-1085</v>
      </c>
      <c r="I54" s="27" t="s">
        <v>152</v>
      </c>
      <c r="J54" s="28" t="s">
        <v>153</v>
      </c>
      <c r="K54" s="27">
        <v>-1085</v>
      </c>
      <c r="L54" s="27" t="s">
        <v>120</v>
      </c>
      <c r="M54" s="28" t="s">
        <v>133</v>
      </c>
      <c r="N54" s="28"/>
      <c r="O54" s="29" t="s">
        <v>127</v>
      </c>
      <c r="P54" s="30" t="s">
        <v>117</v>
      </c>
    </row>
    <row r="55" spans="1:16" ht="12.75" customHeight="1" thickBot="1" x14ac:dyDescent="0.25">
      <c r="A55" s="5" t="str">
        <f t="shared" si="6"/>
        <v>BAVM 59 </v>
      </c>
      <c r="B55" s="3" t="str">
        <f t="shared" si="7"/>
        <v>I</v>
      </c>
      <c r="C55" s="5">
        <f t="shared" si="8"/>
        <v>47922.592100000002</v>
      </c>
      <c r="D55" s="7" t="str">
        <f t="shared" si="9"/>
        <v>vis</v>
      </c>
      <c r="E55" s="26">
        <f>VLOOKUP(C55,Active!C$21:E$973,3,FALSE)</f>
        <v>13.999249292859259</v>
      </c>
      <c r="F55" s="3" t="s">
        <v>72</v>
      </c>
      <c r="G55" s="7" t="str">
        <f t="shared" si="10"/>
        <v>47922.5921</v>
      </c>
      <c r="H55" s="5">
        <f t="shared" si="11"/>
        <v>-1085</v>
      </c>
      <c r="I55" s="27" t="s">
        <v>154</v>
      </c>
      <c r="J55" s="28" t="s">
        <v>155</v>
      </c>
      <c r="K55" s="27">
        <v>-1085</v>
      </c>
      <c r="L55" s="27" t="s">
        <v>156</v>
      </c>
      <c r="M55" s="28" t="s">
        <v>138</v>
      </c>
      <c r="N55" s="28" t="s">
        <v>31</v>
      </c>
      <c r="O55" s="29" t="s">
        <v>157</v>
      </c>
      <c r="P55" s="30" t="s">
        <v>158</v>
      </c>
    </row>
    <row r="56" spans="1:16" ht="12.75" customHeight="1" thickBot="1" x14ac:dyDescent="0.25">
      <c r="A56" s="5" t="str">
        <f t="shared" si="6"/>
        <v>BAVM 59 </v>
      </c>
      <c r="B56" s="3" t="str">
        <f t="shared" si="7"/>
        <v>I</v>
      </c>
      <c r="C56" s="5">
        <f t="shared" si="8"/>
        <v>47922.594799999999</v>
      </c>
      <c r="D56" s="7" t="str">
        <f t="shared" si="9"/>
        <v>vis</v>
      </c>
      <c r="E56" s="26">
        <f>VLOOKUP(C56,Active!C$21:E$973,3,FALSE)</f>
        <v>13.999888797285317</v>
      </c>
      <c r="F56" s="3" t="s">
        <v>72</v>
      </c>
      <c r="G56" s="7" t="str">
        <f t="shared" si="10"/>
        <v>47922.5948</v>
      </c>
      <c r="H56" s="5">
        <f t="shared" si="11"/>
        <v>-1085</v>
      </c>
      <c r="I56" s="27" t="s">
        <v>159</v>
      </c>
      <c r="J56" s="28" t="s">
        <v>160</v>
      </c>
      <c r="K56" s="27">
        <v>-1085</v>
      </c>
      <c r="L56" s="27" t="s">
        <v>161</v>
      </c>
      <c r="M56" s="28" t="s">
        <v>138</v>
      </c>
      <c r="N56" s="28" t="s">
        <v>162</v>
      </c>
      <c r="O56" s="29" t="s">
        <v>157</v>
      </c>
      <c r="P56" s="30" t="s">
        <v>158</v>
      </c>
    </row>
    <row r="57" spans="1:16" ht="12.75" customHeight="1" thickBot="1" x14ac:dyDescent="0.25">
      <c r="A57" s="5" t="str">
        <f t="shared" si="6"/>
        <v>BAVM 59 </v>
      </c>
      <c r="B57" s="3" t="str">
        <f t="shared" si="7"/>
        <v>II</v>
      </c>
      <c r="C57" s="5">
        <f t="shared" si="8"/>
        <v>48127.374000000003</v>
      </c>
      <c r="D57" s="7" t="str">
        <f t="shared" si="9"/>
        <v>vis</v>
      </c>
      <c r="E57" s="26">
        <f>VLOOKUP(C57,Active!C$21:E$973,3,FALSE)</f>
        <v>62.502557277540234</v>
      </c>
      <c r="F57" s="3" t="s">
        <v>72</v>
      </c>
      <c r="G57" s="7" t="str">
        <f t="shared" si="10"/>
        <v>48127.374</v>
      </c>
      <c r="H57" s="5">
        <f t="shared" si="11"/>
        <v>-1036.5</v>
      </c>
      <c r="I57" s="27" t="s">
        <v>171</v>
      </c>
      <c r="J57" s="28" t="s">
        <v>172</v>
      </c>
      <c r="K57" s="27">
        <v>-1036.5</v>
      </c>
      <c r="L57" s="27" t="s">
        <v>173</v>
      </c>
      <c r="M57" s="28" t="s">
        <v>133</v>
      </c>
      <c r="N57" s="28"/>
      <c r="O57" s="29" t="s">
        <v>174</v>
      </c>
      <c r="P57" s="30" t="s">
        <v>158</v>
      </c>
    </row>
    <row r="58" spans="1:16" ht="12.75" customHeight="1" thickBot="1" x14ac:dyDescent="0.25">
      <c r="A58" s="5" t="str">
        <f t="shared" si="6"/>
        <v> AJ 114.793 </v>
      </c>
      <c r="B58" s="3" t="str">
        <f t="shared" si="7"/>
        <v>II</v>
      </c>
      <c r="C58" s="5">
        <f t="shared" si="8"/>
        <v>48135.806799999998</v>
      </c>
      <c r="D58" s="7" t="str">
        <f t="shared" si="9"/>
        <v>vis</v>
      </c>
      <c r="E58" s="26">
        <f>VLOOKUP(C58,Active!C$21:E$973,3,FALSE)</f>
        <v>64.499895399576275</v>
      </c>
      <c r="F58" s="3" t="s">
        <v>72</v>
      </c>
      <c r="G58" s="7" t="str">
        <f t="shared" si="10"/>
        <v>48135.8068</v>
      </c>
      <c r="H58" s="5">
        <f t="shared" si="11"/>
        <v>-1034.5</v>
      </c>
      <c r="I58" s="27" t="s">
        <v>175</v>
      </c>
      <c r="J58" s="28" t="s">
        <v>176</v>
      </c>
      <c r="K58" s="27">
        <v>-1034.5</v>
      </c>
      <c r="L58" s="27" t="s">
        <v>177</v>
      </c>
      <c r="M58" s="28" t="s">
        <v>138</v>
      </c>
      <c r="N58" s="28" t="s">
        <v>178</v>
      </c>
      <c r="O58" s="29" t="s">
        <v>78</v>
      </c>
      <c r="P58" s="29" t="s">
        <v>79</v>
      </c>
    </row>
    <row r="59" spans="1:16" ht="12.75" customHeight="1" thickBot="1" x14ac:dyDescent="0.25">
      <c r="A59" s="5" t="str">
        <f t="shared" si="6"/>
        <v> ASS 250.327 </v>
      </c>
      <c r="B59" s="3" t="str">
        <f t="shared" si="7"/>
        <v>I</v>
      </c>
      <c r="C59" s="5">
        <f t="shared" si="8"/>
        <v>48146.3753</v>
      </c>
      <c r="D59" s="7" t="str">
        <f t="shared" si="9"/>
        <v>vis</v>
      </c>
      <c r="E59" s="26">
        <f>VLOOKUP(C59,Active!C$21:E$973,3,FALSE)</f>
        <v>67.003081523135819</v>
      </c>
      <c r="F59" s="3" t="s">
        <v>72</v>
      </c>
      <c r="G59" s="7" t="str">
        <f t="shared" si="10"/>
        <v>48146.3753</v>
      </c>
      <c r="H59" s="5">
        <f t="shared" si="11"/>
        <v>-1032</v>
      </c>
      <c r="I59" s="27" t="s">
        <v>179</v>
      </c>
      <c r="J59" s="28" t="s">
        <v>180</v>
      </c>
      <c r="K59" s="27">
        <v>-1032</v>
      </c>
      <c r="L59" s="27" t="s">
        <v>181</v>
      </c>
      <c r="M59" s="28" t="s">
        <v>138</v>
      </c>
      <c r="N59" s="28" t="s">
        <v>139</v>
      </c>
      <c r="O59" s="29" t="s">
        <v>182</v>
      </c>
      <c r="P59" s="29" t="s">
        <v>183</v>
      </c>
    </row>
    <row r="60" spans="1:16" ht="12.75" customHeight="1" thickBot="1" x14ac:dyDescent="0.25">
      <c r="A60" s="5" t="str">
        <f t="shared" si="6"/>
        <v> ASS 250.327 </v>
      </c>
      <c r="B60" s="3" t="str">
        <f t="shared" si="7"/>
        <v>I</v>
      </c>
      <c r="C60" s="5">
        <f t="shared" si="8"/>
        <v>48167.469299999997</v>
      </c>
      <c r="D60" s="7" t="str">
        <f t="shared" si="9"/>
        <v>vis</v>
      </c>
      <c r="E60" s="26">
        <f>VLOOKUP(C60,Active!C$21:E$973,3,FALSE)</f>
        <v>71.999269070124697</v>
      </c>
      <c r="F60" s="3" t="s">
        <v>72</v>
      </c>
      <c r="G60" s="7" t="str">
        <f t="shared" si="10"/>
        <v>48167.4693</v>
      </c>
      <c r="H60" s="5">
        <f t="shared" si="11"/>
        <v>-1027</v>
      </c>
      <c r="I60" s="27" t="s">
        <v>184</v>
      </c>
      <c r="J60" s="28" t="s">
        <v>185</v>
      </c>
      <c r="K60" s="27">
        <v>-1027</v>
      </c>
      <c r="L60" s="27" t="s">
        <v>186</v>
      </c>
      <c r="M60" s="28" t="s">
        <v>138</v>
      </c>
      <c r="N60" s="28" t="s">
        <v>139</v>
      </c>
      <c r="O60" s="29" t="s">
        <v>182</v>
      </c>
      <c r="P60" s="29" t="s">
        <v>183</v>
      </c>
    </row>
    <row r="61" spans="1:16" ht="12.75" customHeight="1" thickBot="1" x14ac:dyDescent="0.25">
      <c r="A61" s="5" t="str">
        <f t="shared" si="6"/>
        <v>BAVM 59 </v>
      </c>
      <c r="B61" s="3" t="str">
        <f t="shared" si="7"/>
        <v>II</v>
      </c>
      <c r="C61" s="5">
        <f t="shared" si="8"/>
        <v>48186.470800000003</v>
      </c>
      <c r="D61" s="7" t="str">
        <f t="shared" si="9"/>
        <v>vis</v>
      </c>
      <c r="E61" s="26">
        <f>VLOOKUP(C61,Active!C$21:E$973,3,FALSE)</f>
        <v>76.499840686420796</v>
      </c>
      <c r="F61" s="3" t="s">
        <v>72</v>
      </c>
      <c r="G61" s="7" t="str">
        <f t="shared" si="10"/>
        <v>48186.4708</v>
      </c>
      <c r="H61" s="5">
        <f t="shared" si="11"/>
        <v>-1022.5</v>
      </c>
      <c r="I61" s="27" t="s">
        <v>187</v>
      </c>
      <c r="J61" s="28" t="s">
        <v>188</v>
      </c>
      <c r="K61" s="27">
        <v>-1022.5</v>
      </c>
      <c r="L61" s="27" t="s">
        <v>189</v>
      </c>
      <c r="M61" s="28" t="s">
        <v>138</v>
      </c>
      <c r="N61" s="28" t="s">
        <v>162</v>
      </c>
      <c r="O61" s="29" t="s">
        <v>157</v>
      </c>
      <c r="P61" s="30" t="s">
        <v>158</v>
      </c>
    </row>
    <row r="62" spans="1:16" ht="12.75" customHeight="1" thickBot="1" x14ac:dyDescent="0.25">
      <c r="A62" s="5" t="str">
        <f t="shared" si="6"/>
        <v>BAVM 59 </v>
      </c>
      <c r="B62" s="3" t="str">
        <f t="shared" si="7"/>
        <v>II</v>
      </c>
      <c r="C62" s="5">
        <f t="shared" si="8"/>
        <v>48186.470800000003</v>
      </c>
      <c r="D62" s="7" t="str">
        <f t="shared" si="9"/>
        <v>vis</v>
      </c>
      <c r="E62" s="26">
        <f>VLOOKUP(C62,Active!C$21:E$973,3,FALSE)</f>
        <v>76.499840686420796</v>
      </c>
      <c r="F62" s="3" t="s">
        <v>72</v>
      </c>
      <c r="G62" s="7" t="str">
        <f t="shared" si="10"/>
        <v>48186.4708</v>
      </c>
      <c r="H62" s="5">
        <f t="shared" si="11"/>
        <v>-1022.5</v>
      </c>
      <c r="I62" s="27" t="s">
        <v>187</v>
      </c>
      <c r="J62" s="28" t="s">
        <v>188</v>
      </c>
      <c r="K62" s="27">
        <v>-1022.5</v>
      </c>
      <c r="L62" s="27" t="s">
        <v>189</v>
      </c>
      <c r="M62" s="28" t="s">
        <v>138</v>
      </c>
      <c r="N62" s="28" t="s">
        <v>178</v>
      </c>
      <c r="O62" s="29" t="s">
        <v>157</v>
      </c>
      <c r="P62" s="30" t="s">
        <v>158</v>
      </c>
    </row>
    <row r="63" spans="1:16" ht="12.75" customHeight="1" thickBot="1" x14ac:dyDescent="0.25">
      <c r="A63" s="5" t="str">
        <f t="shared" si="6"/>
        <v> AJ 114.793 </v>
      </c>
      <c r="B63" s="3" t="str">
        <f t="shared" si="7"/>
        <v>II</v>
      </c>
      <c r="C63" s="5">
        <f t="shared" si="8"/>
        <v>48190.693399999996</v>
      </c>
      <c r="D63" s="7" t="str">
        <f t="shared" si="9"/>
        <v>vis</v>
      </c>
      <c r="E63" s="26">
        <f>VLOOKUP(C63,Active!C$21:E$973,3,FALSE)</f>
        <v>77.499978239084413</v>
      </c>
      <c r="F63" s="3" t="s">
        <v>72</v>
      </c>
      <c r="G63" s="7" t="str">
        <f t="shared" si="10"/>
        <v>48190.6934</v>
      </c>
      <c r="H63" s="5">
        <f t="shared" si="11"/>
        <v>-1021.5</v>
      </c>
      <c r="I63" s="27" t="s">
        <v>190</v>
      </c>
      <c r="J63" s="28" t="s">
        <v>191</v>
      </c>
      <c r="K63" s="27">
        <v>-1021.5</v>
      </c>
      <c r="L63" s="27" t="s">
        <v>192</v>
      </c>
      <c r="M63" s="28" t="s">
        <v>138</v>
      </c>
      <c r="N63" s="28" t="s">
        <v>31</v>
      </c>
      <c r="O63" s="29" t="s">
        <v>78</v>
      </c>
      <c r="P63" s="29" t="s">
        <v>79</v>
      </c>
    </row>
    <row r="64" spans="1:16" ht="12.75" customHeight="1" thickBot="1" x14ac:dyDescent="0.25">
      <c r="A64" s="5" t="str">
        <f t="shared" si="6"/>
        <v> ASS 250.327 </v>
      </c>
      <c r="B64" s="3" t="str">
        <f t="shared" si="7"/>
        <v>I</v>
      </c>
      <c r="C64" s="5">
        <f t="shared" si="8"/>
        <v>48260.356200000002</v>
      </c>
      <c r="D64" s="7" t="str">
        <f t="shared" si="9"/>
        <v>vis</v>
      </c>
      <c r="E64" s="26">
        <f>VLOOKUP(C64,Active!C$21:E$973,3,FALSE)</f>
        <v>93.999855637797253</v>
      </c>
      <c r="F64" s="3" t="s">
        <v>72</v>
      </c>
      <c r="G64" s="7" t="str">
        <f t="shared" si="10"/>
        <v>48260.3562</v>
      </c>
      <c r="H64" s="5">
        <f t="shared" si="11"/>
        <v>-1005</v>
      </c>
      <c r="I64" s="27" t="s">
        <v>193</v>
      </c>
      <c r="J64" s="28" t="s">
        <v>194</v>
      </c>
      <c r="K64" s="27">
        <v>-1005</v>
      </c>
      <c r="L64" s="27" t="s">
        <v>161</v>
      </c>
      <c r="M64" s="28" t="s">
        <v>138</v>
      </c>
      <c r="N64" s="28" t="s">
        <v>139</v>
      </c>
      <c r="O64" s="29" t="s">
        <v>182</v>
      </c>
      <c r="P64" s="29" t="s">
        <v>183</v>
      </c>
    </row>
    <row r="65" spans="1:16" ht="12.75" customHeight="1" thickBot="1" x14ac:dyDescent="0.25">
      <c r="A65" s="5" t="str">
        <f t="shared" si="6"/>
        <v>BAVM 59 </v>
      </c>
      <c r="B65" s="3" t="str">
        <f t="shared" si="7"/>
        <v>I</v>
      </c>
      <c r="C65" s="5">
        <f t="shared" si="8"/>
        <v>48281.465700000001</v>
      </c>
      <c r="D65" s="7" t="str">
        <f t="shared" si="9"/>
        <v>vis</v>
      </c>
      <c r="E65" s="26">
        <f>VLOOKUP(C65,Active!C$21:E$973,3,FALSE)</f>
        <v>98.999714413902709</v>
      </c>
      <c r="F65" s="3" t="s">
        <v>72</v>
      </c>
      <c r="G65" s="7" t="str">
        <f t="shared" si="10"/>
        <v>48281.4657</v>
      </c>
      <c r="H65" s="5">
        <f t="shared" si="11"/>
        <v>-1000</v>
      </c>
      <c r="I65" s="27" t="s">
        <v>195</v>
      </c>
      <c r="J65" s="28" t="s">
        <v>196</v>
      </c>
      <c r="K65" s="27">
        <v>-1000</v>
      </c>
      <c r="L65" s="27" t="s">
        <v>197</v>
      </c>
      <c r="M65" s="28" t="s">
        <v>138</v>
      </c>
      <c r="N65" s="28" t="s">
        <v>31</v>
      </c>
      <c r="O65" s="29" t="s">
        <v>157</v>
      </c>
      <c r="P65" s="30" t="s">
        <v>158</v>
      </c>
    </row>
    <row r="66" spans="1:16" ht="12.75" customHeight="1" thickBot="1" x14ac:dyDescent="0.25">
      <c r="A66" s="5" t="str">
        <f t="shared" si="6"/>
        <v>BAVM 59 </v>
      </c>
      <c r="B66" s="3" t="str">
        <f t="shared" si="7"/>
        <v>I</v>
      </c>
      <c r="C66" s="5">
        <f t="shared" si="8"/>
        <v>48281.466</v>
      </c>
      <c r="D66" s="7" t="str">
        <f t="shared" si="9"/>
        <v>vis</v>
      </c>
      <c r="E66" s="26">
        <f>VLOOKUP(C66,Active!C$21:E$973,3,FALSE)</f>
        <v>98.999785469950041</v>
      </c>
      <c r="F66" s="3" t="s">
        <v>72</v>
      </c>
      <c r="G66" s="7" t="str">
        <f t="shared" si="10"/>
        <v>48281.4660</v>
      </c>
      <c r="H66" s="5">
        <f t="shared" si="11"/>
        <v>-1000</v>
      </c>
      <c r="I66" s="27" t="s">
        <v>198</v>
      </c>
      <c r="J66" s="28" t="s">
        <v>199</v>
      </c>
      <c r="K66" s="27">
        <v>-1000</v>
      </c>
      <c r="L66" s="27" t="s">
        <v>200</v>
      </c>
      <c r="M66" s="28" t="s">
        <v>138</v>
      </c>
      <c r="N66" s="28" t="s">
        <v>162</v>
      </c>
      <c r="O66" s="29" t="s">
        <v>157</v>
      </c>
      <c r="P66" s="30" t="s">
        <v>158</v>
      </c>
    </row>
    <row r="67" spans="1:16" ht="12.75" customHeight="1" thickBot="1" x14ac:dyDescent="0.25">
      <c r="A67" s="5" t="str">
        <f t="shared" si="6"/>
        <v>BAVM 60 </v>
      </c>
      <c r="B67" s="3" t="str">
        <f t="shared" si="7"/>
        <v>II</v>
      </c>
      <c r="C67" s="5">
        <f t="shared" si="8"/>
        <v>48490.4565</v>
      </c>
      <c r="D67" s="7" t="str">
        <f t="shared" si="9"/>
        <v>vis</v>
      </c>
      <c r="E67" s="26">
        <f>VLOOKUP(C67,Active!C$21:E$973,3,FALSE)</f>
        <v>148.49991505841649</v>
      </c>
      <c r="F67" s="3" t="s">
        <v>72</v>
      </c>
      <c r="G67" s="7" t="str">
        <f t="shared" si="10"/>
        <v>48490.4565</v>
      </c>
      <c r="H67" s="5">
        <f t="shared" si="11"/>
        <v>-950.5</v>
      </c>
      <c r="I67" s="27" t="s">
        <v>209</v>
      </c>
      <c r="J67" s="28" t="s">
        <v>210</v>
      </c>
      <c r="K67" s="27">
        <v>-950.5</v>
      </c>
      <c r="L67" s="27" t="s">
        <v>211</v>
      </c>
      <c r="M67" s="28" t="s">
        <v>138</v>
      </c>
      <c r="N67" s="28" t="s">
        <v>178</v>
      </c>
      <c r="O67" s="29" t="s">
        <v>157</v>
      </c>
      <c r="P67" s="30" t="s">
        <v>212</v>
      </c>
    </row>
    <row r="68" spans="1:16" ht="12.75" customHeight="1" thickBot="1" x14ac:dyDescent="0.25">
      <c r="A68" s="5" t="str">
        <f t="shared" si="6"/>
        <v>BAVM 60 </v>
      </c>
      <c r="B68" s="3" t="str">
        <f t="shared" si="7"/>
        <v>II</v>
      </c>
      <c r="C68" s="5">
        <f t="shared" si="8"/>
        <v>48490.4571</v>
      </c>
      <c r="D68" s="7" t="str">
        <f t="shared" si="9"/>
        <v>vis</v>
      </c>
      <c r="E68" s="26">
        <f>VLOOKUP(C68,Active!C$21:E$973,3,FALSE)</f>
        <v>148.50005717051116</v>
      </c>
      <c r="F68" s="3" t="s">
        <v>72</v>
      </c>
      <c r="G68" s="7" t="str">
        <f t="shared" si="10"/>
        <v>48490.4571</v>
      </c>
      <c r="H68" s="5">
        <f t="shared" si="11"/>
        <v>-950.5</v>
      </c>
      <c r="I68" s="27" t="s">
        <v>213</v>
      </c>
      <c r="J68" s="28" t="s">
        <v>214</v>
      </c>
      <c r="K68" s="27">
        <v>-950.5</v>
      </c>
      <c r="L68" s="27" t="s">
        <v>215</v>
      </c>
      <c r="M68" s="28" t="s">
        <v>138</v>
      </c>
      <c r="N68" s="28" t="s">
        <v>162</v>
      </c>
      <c r="O68" s="29" t="s">
        <v>157</v>
      </c>
      <c r="P68" s="30" t="s">
        <v>212</v>
      </c>
    </row>
    <row r="69" spans="1:16" ht="12.75" customHeight="1" thickBot="1" x14ac:dyDescent="0.25">
      <c r="A69" s="5" t="str">
        <f t="shared" si="6"/>
        <v>BAVM 60 </v>
      </c>
      <c r="B69" s="3" t="str">
        <f t="shared" si="7"/>
        <v>I</v>
      </c>
      <c r="C69" s="5">
        <f t="shared" si="8"/>
        <v>48509.454899999997</v>
      </c>
      <c r="D69" s="7" t="str">
        <f t="shared" si="9"/>
        <v>vis</v>
      </c>
      <c r="E69" s="26">
        <f>VLOOKUP(C69,Active!C$21:E$973,3,FALSE)</f>
        <v>152.99975242888721</v>
      </c>
      <c r="F69" s="3" t="s">
        <v>72</v>
      </c>
      <c r="G69" s="7" t="str">
        <f t="shared" si="10"/>
        <v>48509.4549</v>
      </c>
      <c r="H69" s="5">
        <f t="shared" si="11"/>
        <v>-946</v>
      </c>
      <c r="I69" s="27" t="s">
        <v>224</v>
      </c>
      <c r="J69" s="28" t="s">
        <v>225</v>
      </c>
      <c r="K69" s="27">
        <v>-946</v>
      </c>
      <c r="L69" s="27" t="s">
        <v>226</v>
      </c>
      <c r="M69" s="28" t="s">
        <v>138</v>
      </c>
      <c r="N69" s="28" t="s">
        <v>162</v>
      </c>
      <c r="O69" s="29" t="s">
        <v>157</v>
      </c>
      <c r="P69" s="30" t="s">
        <v>212</v>
      </c>
    </row>
    <row r="70" spans="1:16" ht="12.75" customHeight="1" thickBot="1" x14ac:dyDescent="0.25">
      <c r="A70" s="5" t="str">
        <f t="shared" si="6"/>
        <v>BAVM 60 </v>
      </c>
      <c r="B70" s="3" t="str">
        <f t="shared" si="7"/>
        <v>I</v>
      </c>
      <c r="C70" s="5">
        <f t="shared" si="8"/>
        <v>48509.454899999997</v>
      </c>
      <c r="D70" s="7" t="str">
        <f t="shared" si="9"/>
        <v>vis</v>
      </c>
      <c r="E70" s="26">
        <f>VLOOKUP(C70,Active!C$21:E$973,3,FALSE)</f>
        <v>152.99975242888721</v>
      </c>
      <c r="F70" s="3" t="s">
        <v>72</v>
      </c>
      <c r="G70" s="7" t="str">
        <f t="shared" si="10"/>
        <v>48509.4549</v>
      </c>
      <c r="H70" s="5">
        <f t="shared" si="11"/>
        <v>-946</v>
      </c>
      <c r="I70" s="27" t="s">
        <v>224</v>
      </c>
      <c r="J70" s="28" t="s">
        <v>225</v>
      </c>
      <c r="K70" s="27">
        <v>-946</v>
      </c>
      <c r="L70" s="27" t="s">
        <v>226</v>
      </c>
      <c r="M70" s="28" t="s">
        <v>138</v>
      </c>
      <c r="N70" s="28" t="s">
        <v>31</v>
      </c>
      <c r="O70" s="29" t="s">
        <v>157</v>
      </c>
      <c r="P70" s="30" t="s">
        <v>212</v>
      </c>
    </row>
    <row r="71" spans="1:16" ht="12.75" customHeight="1" thickBot="1" x14ac:dyDescent="0.25">
      <c r="A71" s="5" t="str">
        <f t="shared" si="6"/>
        <v> MVS 12.141 </v>
      </c>
      <c r="B71" s="3" t="str">
        <f t="shared" si="7"/>
        <v>I</v>
      </c>
      <c r="C71" s="5">
        <f t="shared" si="8"/>
        <v>48509.474999999999</v>
      </c>
      <c r="D71" s="7" t="str">
        <f t="shared" si="9"/>
        <v>vis</v>
      </c>
      <c r="E71" s="26">
        <f>VLOOKUP(C71,Active!C$21:E$973,3,FALSE)</f>
        <v>153.00451318406414</v>
      </c>
      <c r="F71" s="3" t="s">
        <v>72</v>
      </c>
      <c r="G71" s="7" t="str">
        <f t="shared" si="10"/>
        <v>48509.475</v>
      </c>
      <c r="H71" s="5">
        <f t="shared" si="11"/>
        <v>-946</v>
      </c>
      <c r="I71" s="27" t="s">
        <v>227</v>
      </c>
      <c r="J71" s="28" t="s">
        <v>228</v>
      </c>
      <c r="K71" s="27">
        <v>-946</v>
      </c>
      <c r="L71" s="27" t="s">
        <v>229</v>
      </c>
      <c r="M71" s="28" t="s">
        <v>133</v>
      </c>
      <c r="N71" s="28"/>
      <c r="O71" s="29" t="s">
        <v>230</v>
      </c>
      <c r="P71" s="29" t="s">
        <v>231</v>
      </c>
    </row>
    <row r="72" spans="1:16" ht="12.75" customHeight="1" thickBot="1" x14ac:dyDescent="0.25">
      <c r="A72" s="5" t="str">
        <f t="shared" si="6"/>
        <v> BBS 103 </v>
      </c>
      <c r="B72" s="3" t="str">
        <f t="shared" si="7"/>
        <v>I</v>
      </c>
      <c r="C72" s="5">
        <f t="shared" si="8"/>
        <v>49058.317900000002</v>
      </c>
      <c r="D72" s="7" t="str">
        <f t="shared" si="9"/>
        <v>vis</v>
      </c>
      <c r="E72" s="26">
        <f>VLOOKUP(C72,Active!C$21:E$973,3,FALSE)</f>
        <v>282.99987026350033</v>
      </c>
      <c r="F72" s="3" t="s">
        <v>72</v>
      </c>
      <c r="G72" s="7" t="str">
        <f t="shared" si="10"/>
        <v>49058.3179</v>
      </c>
      <c r="H72" s="5">
        <f t="shared" si="11"/>
        <v>-816</v>
      </c>
      <c r="I72" s="27" t="s">
        <v>256</v>
      </c>
      <c r="J72" s="28" t="s">
        <v>257</v>
      </c>
      <c r="K72" s="27">
        <v>-816</v>
      </c>
      <c r="L72" s="27" t="s">
        <v>211</v>
      </c>
      <c r="M72" s="28" t="s">
        <v>138</v>
      </c>
      <c r="N72" s="28" t="s">
        <v>31</v>
      </c>
      <c r="O72" s="29" t="s">
        <v>258</v>
      </c>
      <c r="P72" s="29" t="s">
        <v>249</v>
      </c>
    </row>
    <row r="73" spans="1:16" ht="12.75" customHeight="1" thickBot="1" x14ac:dyDescent="0.25">
      <c r="A73" s="5" t="str">
        <f t="shared" si="6"/>
        <v>BAVM 68 </v>
      </c>
      <c r="B73" s="3" t="str">
        <f t="shared" si="7"/>
        <v>I</v>
      </c>
      <c r="C73" s="5">
        <f t="shared" si="8"/>
        <v>49214.5317</v>
      </c>
      <c r="D73" s="7" t="str">
        <f t="shared" si="9"/>
        <v>vis</v>
      </c>
      <c r="E73" s="26">
        <f>VLOOKUP(C73,Active!C$21:E$973,3,FALSE)</f>
        <v>319.99965419390224</v>
      </c>
      <c r="F73" s="3" t="s">
        <v>72</v>
      </c>
      <c r="G73" s="7" t="str">
        <f t="shared" si="10"/>
        <v>49214.5317</v>
      </c>
      <c r="H73" s="5">
        <f t="shared" si="11"/>
        <v>-779</v>
      </c>
      <c r="I73" s="27" t="s">
        <v>259</v>
      </c>
      <c r="J73" s="28" t="s">
        <v>260</v>
      </c>
      <c r="K73" s="27">
        <v>-779</v>
      </c>
      <c r="L73" s="27" t="s">
        <v>197</v>
      </c>
      <c r="M73" s="28" t="s">
        <v>138</v>
      </c>
      <c r="N73" s="28" t="s">
        <v>31</v>
      </c>
      <c r="O73" s="29" t="s">
        <v>157</v>
      </c>
      <c r="P73" s="30" t="s">
        <v>261</v>
      </c>
    </row>
    <row r="74" spans="1:16" ht="12.75" customHeight="1" thickBot="1" x14ac:dyDescent="0.25">
      <c r="A74" s="5" t="str">
        <f t="shared" si="6"/>
        <v>BAVM 68 </v>
      </c>
      <c r="B74" s="3" t="str">
        <f t="shared" si="7"/>
        <v>I</v>
      </c>
      <c r="C74" s="5">
        <f t="shared" si="8"/>
        <v>49214.531900000002</v>
      </c>
      <c r="D74" s="7" t="str">
        <f t="shared" si="9"/>
        <v>vis</v>
      </c>
      <c r="E74" s="26">
        <f>VLOOKUP(C74,Active!C$21:E$973,3,FALSE)</f>
        <v>319.99970156460108</v>
      </c>
      <c r="F74" s="3" t="s">
        <v>72</v>
      </c>
      <c r="G74" s="7" t="str">
        <f t="shared" si="10"/>
        <v>49214.5319</v>
      </c>
      <c r="H74" s="5">
        <f t="shared" si="11"/>
        <v>-779</v>
      </c>
      <c r="I74" s="27" t="s">
        <v>262</v>
      </c>
      <c r="J74" s="28" t="s">
        <v>260</v>
      </c>
      <c r="K74" s="27">
        <v>-779</v>
      </c>
      <c r="L74" s="27" t="s">
        <v>226</v>
      </c>
      <c r="M74" s="28" t="s">
        <v>138</v>
      </c>
      <c r="N74" s="28" t="s">
        <v>162</v>
      </c>
      <c r="O74" s="29" t="s">
        <v>157</v>
      </c>
      <c r="P74" s="30" t="s">
        <v>261</v>
      </c>
    </row>
    <row r="75" spans="1:16" ht="12.75" customHeight="1" thickBot="1" x14ac:dyDescent="0.25">
      <c r="A75" s="5" t="str">
        <f t="shared" si="6"/>
        <v>BAVM 68 </v>
      </c>
      <c r="B75" s="3" t="str">
        <f t="shared" si="7"/>
        <v>II</v>
      </c>
      <c r="C75" s="5">
        <f t="shared" si="8"/>
        <v>49250.419000000002</v>
      </c>
      <c r="D75" s="7" t="str">
        <f t="shared" si="9"/>
        <v>vis</v>
      </c>
      <c r="E75" s="26">
        <f>VLOOKUP(C75,Active!C$21:E$973,3,FALSE)</f>
        <v>328.49968649479769</v>
      </c>
      <c r="F75" s="3" t="s">
        <v>72</v>
      </c>
      <c r="G75" s="7" t="str">
        <f t="shared" si="10"/>
        <v>49250.4190</v>
      </c>
      <c r="H75" s="5">
        <f t="shared" si="11"/>
        <v>-770.5</v>
      </c>
      <c r="I75" s="27" t="s">
        <v>263</v>
      </c>
      <c r="J75" s="28" t="s">
        <v>264</v>
      </c>
      <c r="K75" s="27">
        <v>-770.5</v>
      </c>
      <c r="L75" s="27" t="s">
        <v>226</v>
      </c>
      <c r="M75" s="28" t="s">
        <v>138</v>
      </c>
      <c r="N75" s="28" t="s">
        <v>31</v>
      </c>
      <c r="O75" s="29" t="s">
        <v>157</v>
      </c>
      <c r="P75" s="30" t="s">
        <v>261</v>
      </c>
    </row>
    <row r="76" spans="1:16" ht="12.75" customHeight="1" thickBot="1" x14ac:dyDescent="0.25">
      <c r="A76" s="5" t="str">
        <f t="shared" si="6"/>
        <v>BAVM 68 </v>
      </c>
      <c r="B76" s="3" t="str">
        <f t="shared" si="7"/>
        <v>II</v>
      </c>
      <c r="C76" s="5">
        <f t="shared" si="8"/>
        <v>49250.419199999997</v>
      </c>
      <c r="D76" s="7" t="str">
        <f t="shared" si="9"/>
        <v>vis</v>
      </c>
      <c r="E76" s="26">
        <f>VLOOKUP(C76,Active!C$21:E$973,3,FALSE)</f>
        <v>328.49973386549476</v>
      </c>
      <c r="F76" s="3" t="s">
        <v>72</v>
      </c>
      <c r="G76" s="7" t="str">
        <f t="shared" si="10"/>
        <v>49250.4192</v>
      </c>
      <c r="H76" s="5">
        <f t="shared" si="11"/>
        <v>-770.5</v>
      </c>
      <c r="I76" s="27" t="s">
        <v>265</v>
      </c>
      <c r="J76" s="28" t="s">
        <v>264</v>
      </c>
      <c r="K76" s="27">
        <v>-770.5</v>
      </c>
      <c r="L76" s="27" t="s">
        <v>266</v>
      </c>
      <c r="M76" s="28" t="s">
        <v>138</v>
      </c>
      <c r="N76" s="28" t="s">
        <v>162</v>
      </c>
      <c r="O76" s="29" t="s">
        <v>157</v>
      </c>
      <c r="P76" s="30" t="s">
        <v>261</v>
      </c>
    </row>
    <row r="77" spans="1:16" ht="12.75" customHeight="1" thickBot="1" x14ac:dyDescent="0.25">
      <c r="A77" s="5" t="str">
        <f t="shared" si="6"/>
        <v>BAVM 68 </v>
      </c>
      <c r="B77" s="3" t="str">
        <f t="shared" si="7"/>
        <v>II</v>
      </c>
      <c r="C77" s="5">
        <f t="shared" si="8"/>
        <v>49288.417500000003</v>
      </c>
      <c r="D77" s="7" t="str">
        <f t="shared" si="9"/>
        <v>vis</v>
      </c>
      <c r="E77" s="26">
        <f>VLOOKUP(C77,Active!C$21:E$973,3,FALSE)</f>
        <v>337.49976388667631</v>
      </c>
      <c r="F77" s="3" t="s">
        <v>72</v>
      </c>
      <c r="G77" s="7" t="str">
        <f t="shared" si="10"/>
        <v>49288.4175</v>
      </c>
      <c r="H77" s="5">
        <f t="shared" si="11"/>
        <v>-761.5</v>
      </c>
      <c r="I77" s="27" t="s">
        <v>267</v>
      </c>
      <c r="J77" s="28" t="s">
        <v>268</v>
      </c>
      <c r="K77" s="27">
        <v>-761.5</v>
      </c>
      <c r="L77" s="27" t="s">
        <v>189</v>
      </c>
      <c r="M77" s="28" t="s">
        <v>138</v>
      </c>
      <c r="N77" s="28" t="s">
        <v>178</v>
      </c>
      <c r="O77" s="29" t="s">
        <v>157</v>
      </c>
      <c r="P77" s="30" t="s">
        <v>261</v>
      </c>
    </row>
    <row r="78" spans="1:16" ht="12.75" customHeight="1" thickBot="1" x14ac:dyDescent="0.25">
      <c r="A78" s="5" t="str">
        <f t="shared" si="6"/>
        <v>BAVM 68 </v>
      </c>
      <c r="B78" s="3" t="str">
        <f t="shared" si="7"/>
        <v>II</v>
      </c>
      <c r="C78" s="5">
        <f t="shared" si="8"/>
        <v>49288.417999999998</v>
      </c>
      <c r="D78" s="7" t="str">
        <f t="shared" si="9"/>
        <v>vis</v>
      </c>
      <c r="E78" s="26">
        <f>VLOOKUP(C78,Active!C$21:E$973,3,FALSE)</f>
        <v>337.49988231342076</v>
      </c>
      <c r="F78" s="3" t="s">
        <v>72</v>
      </c>
      <c r="G78" s="7" t="str">
        <f t="shared" si="10"/>
        <v>49288.4180</v>
      </c>
      <c r="H78" s="5">
        <f t="shared" si="11"/>
        <v>-761.5</v>
      </c>
      <c r="I78" s="27" t="s">
        <v>269</v>
      </c>
      <c r="J78" s="28" t="s">
        <v>268</v>
      </c>
      <c r="K78" s="27">
        <v>-761.5</v>
      </c>
      <c r="L78" s="27" t="s">
        <v>270</v>
      </c>
      <c r="M78" s="28" t="s">
        <v>138</v>
      </c>
      <c r="N78" s="28" t="s">
        <v>162</v>
      </c>
      <c r="O78" s="29" t="s">
        <v>157</v>
      </c>
      <c r="P78" s="30" t="s">
        <v>261</v>
      </c>
    </row>
    <row r="79" spans="1:16" ht="12.75" customHeight="1" thickBot="1" x14ac:dyDescent="0.25">
      <c r="A79" s="5" t="str">
        <f t="shared" si="6"/>
        <v>BAVM 79 </v>
      </c>
      <c r="B79" s="3" t="str">
        <f t="shared" si="7"/>
        <v>II</v>
      </c>
      <c r="C79" s="5">
        <f t="shared" si="8"/>
        <v>49685.300999999999</v>
      </c>
      <c r="D79" s="7" t="str">
        <f t="shared" si="9"/>
        <v>vis</v>
      </c>
      <c r="E79" s="26">
        <f>VLOOKUP(C79,Active!C$21:E$973,3,FALSE)</f>
        <v>431.5030065293991</v>
      </c>
      <c r="F79" s="3" t="s">
        <v>72</v>
      </c>
      <c r="G79" s="7" t="str">
        <f t="shared" si="10"/>
        <v>49685.301</v>
      </c>
      <c r="H79" s="5">
        <f t="shared" si="11"/>
        <v>-667.5</v>
      </c>
      <c r="I79" s="27" t="s">
        <v>275</v>
      </c>
      <c r="J79" s="28" t="s">
        <v>276</v>
      </c>
      <c r="K79" s="27">
        <v>-667.5</v>
      </c>
      <c r="L79" s="27" t="s">
        <v>277</v>
      </c>
      <c r="M79" s="28" t="s">
        <v>133</v>
      </c>
      <c r="N79" s="28"/>
      <c r="O79" s="29" t="s">
        <v>230</v>
      </c>
      <c r="P79" s="30" t="s">
        <v>278</v>
      </c>
    </row>
    <row r="80" spans="1:1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</sheetData>
  <phoneticPr fontId="8" type="noConversion"/>
  <hyperlinks>
    <hyperlink ref="P46" r:id="rId1" display="http://www.konkoly.hu/cgi-bin/IBVS?3442"/>
    <hyperlink ref="P47" r:id="rId2" display="http://www.konkoly.hu/cgi-bin/IBVS?3442"/>
    <hyperlink ref="P48" r:id="rId3" display="http://www.konkoly.hu/cgi-bin/IBVS?3442"/>
    <hyperlink ref="P49" r:id="rId4" display="http://www.konkoly.hu/cgi-bin/IBVS?3442"/>
    <hyperlink ref="P50" r:id="rId5" display="http://www.konkoly.hu/cgi-bin/IBVS?3442"/>
    <hyperlink ref="P51" r:id="rId6" display="http://www.konkoly.hu/cgi-bin/IBVS?3442"/>
    <hyperlink ref="P11" r:id="rId7" display="http://www.konkoly.hu/cgi-bin/IBVS?3479"/>
    <hyperlink ref="P52" r:id="rId8" display="http://www.konkoly.hu/cgi-bin/IBVS?3442"/>
    <hyperlink ref="P53" r:id="rId9" display="http://www.konkoly.hu/cgi-bin/IBVS?3442"/>
    <hyperlink ref="P12" r:id="rId10" display="http://www.konkoly.hu/cgi-bin/IBVS?3479"/>
    <hyperlink ref="P54" r:id="rId11" display="http://www.konkoly.hu/cgi-bin/IBVS?3442"/>
    <hyperlink ref="P55" r:id="rId12" display="http://www.bav-astro.de/sfs/BAVM_link.php?BAVMnr=59"/>
    <hyperlink ref="P56" r:id="rId13" display="http://www.bav-astro.de/sfs/BAVM_link.php?BAVMnr=59"/>
    <hyperlink ref="P57" r:id="rId14" display="http://www.bav-astro.de/sfs/BAVM_link.php?BAVMnr=59"/>
    <hyperlink ref="P61" r:id="rId15" display="http://www.bav-astro.de/sfs/BAVM_link.php?BAVMnr=59"/>
    <hyperlink ref="P62" r:id="rId16" display="http://www.bav-astro.de/sfs/BAVM_link.php?BAVMnr=59"/>
    <hyperlink ref="P65" r:id="rId17" display="http://www.bav-astro.de/sfs/BAVM_link.php?BAVMnr=59"/>
    <hyperlink ref="P66" r:id="rId18" display="http://www.bav-astro.de/sfs/BAVM_link.php?BAVMnr=59"/>
    <hyperlink ref="P67" r:id="rId19" display="http://www.bav-astro.de/sfs/BAVM_link.php?BAVMnr=60"/>
    <hyperlink ref="P68" r:id="rId20" display="http://www.bav-astro.de/sfs/BAVM_link.php?BAVMnr=60"/>
    <hyperlink ref="P69" r:id="rId21" display="http://www.bav-astro.de/sfs/BAVM_link.php?BAVMnr=60"/>
    <hyperlink ref="P70" r:id="rId22" display="http://www.bav-astro.de/sfs/BAVM_link.php?BAVMnr=60"/>
    <hyperlink ref="P73" r:id="rId23" display="http://www.bav-astro.de/sfs/BAVM_link.php?BAVMnr=68"/>
    <hyperlink ref="P74" r:id="rId24" display="http://www.bav-astro.de/sfs/BAVM_link.php?BAVMnr=68"/>
    <hyperlink ref="P75" r:id="rId25" display="http://www.bav-astro.de/sfs/BAVM_link.php?BAVMnr=68"/>
    <hyperlink ref="P76" r:id="rId26" display="http://www.bav-astro.de/sfs/BAVM_link.php?BAVMnr=68"/>
    <hyperlink ref="P77" r:id="rId27" display="http://www.bav-astro.de/sfs/BAVM_link.php?BAVMnr=68"/>
    <hyperlink ref="P78" r:id="rId28" display="http://www.bav-astro.de/sfs/BAVM_link.php?BAVMnr=68"/>
    <hyperlink ref="P79" r:id="rId29" display="http://www.bav-astro.de/sfs/BAVM_link.php?BAVMnr=79"/>
    <hyperlink ref="P29" r:id="rId30" display="http://www.bav-astro.de/sfs/BAVM_link.php?BAVMnr=118"/>
    <hyperlink ref="P30" r:id="rId31" display="http://www.bav-astro.de/sfs/BAVM_link.php?BAVMnr=204"/>
    <hyperlink ref="P31" r:id="rId32" display="http://www.bav-astro.de/sfs/BAVM_link.php?BAVMnr=234"/>
    <hyperlink ref="P32" r:id="rId33" display="http://www.bav-astro.de/sfs/BAVM_link.php?BAVMnr=234"/>
    <hyperlink ref="P33" r:id="rId34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2024-03-03T06:15:24Z</dcterms:modified>
</cp:coreProperties>
</file>