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38F19C-EE14-46CD-9D60-1B9581BFC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H48" i="1" s="1"/>
  <c r="Q48" i="1"/>
  <c r="C48" i="1"/>
  <c r="A48" i="1"/>
  <c r="E52" i="1"/>
  <c r="F52" i="1" s="1"/>
  <c r="G52" i="1" s="1"/>
  <c r="K52" i="1" s="1"/>
  <c r="Q52" i="1"/>
  <c r="Q42" i="1"/>
  <c r="E21" i="1"/>
  <c r="F21" i="1" s="1"/>
  <c r="G21" i="1" s="1"/>
  <c r="I21" i="1" s="1"/>
  <c r="E22" i="1"/>
  <c r="F22" i="1" s="1"/>
  <c r="G22" i="1" s="1"/>
  <c r="I22" i="1" s="1"/>
  <c r="E23" i="1"/>
  <c r="F23" i="1" s="1"/>
  <c r="G23" i="1" s="1"/>
  <c r="I23" i="1" s="1"/>
  <c r="E24" i="1"/>
  <c r="E23" i="2" s="1"/>
  <c r="F24" i="1"/>
  <c r="G24" i="1" s="1"/>
  <c r="I24" i="1" s="1"/>
  <c r="E25" i="1"/>
  <c r="E24" i="2" s="1"/>
  <c r="E26" i="1"/>
  <c r="F26" i="1" s="1"/>
  <c r="G26" i="1" s="1"/>
  <c r="I26" i="1" s="1"/>
  <c r="E27" i="1"/>
  <c r="F27" i="1" s="1"/>
  <c r="G27" i="1" s="1"/>
  <c r="I27" i="1" s="1"/>
  <c r="E28" i="1"/>
  <c r="E27" i="2" s="1"/>
  <c r="F28" i="1"/>
  <c r="G28" i="1" s="1"/>
  <c r="I28" i="1" s="1"/>
  <c r="E29" i="1"/>
  <c r="E28" i="2" s="1"/>
  <c r="F29" i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E31" i="2" s="1"/>
  <c r="F32" i="1"/>
  <c r="G32" i="1"/>
  <c r="I32" i="1" s="1"/>
  <c r="E33" i="1"/>
  <c r="E32" i="2" s="1"/>
  <c r="F33" i="1"/>
  <c r="G33" i="1" s="1"/>
  <c r="I33" i="1" s="1"/>
  <c r="E34" i="1"/>
  <c r="F34" i="1" s="1"/>
  <c r="G34" i="1" s="1"/>
  <c r="I34" i="1" s="1"/>
  <c r="E35" i="1"/>
  <c r="F35" i="1"/>
  <c r="G35" i="1" s="1"/>
  <c r="I35" i="1" s="1"/>
  <c r="E36" i="1"/>
  <c r="E35" i="2" s="1"/>
  <c r="F36" i="1"/>
  <c r="G36" i="1" s="1"/>
  <c r="I36" i="1" s="1"/>
  <c r="E37" i="1"/>
  <c r="E36" i="2" s="1"/>
  <c r="F37" i="1"/>
  <c r="G37" i="1" s="1"/>
  <c r="I37" i="1" s="1"/>
  <c r="E39" i="1"/>
  <c r="F39" i="1" s="1"/>
  <c r="G39" i="1" s="1"/>
  <c r="I39" i="1" s="1"/>
  <c r="E40" i="1"/>
  <c r="F40" i="1" s="1"/>
  <c r="G40" i="1" s="1"/>
  <c r="I40" i="1" s="1"/>
  <c r="E42" i="1"/>
  <c r="F42" i="1"/>
  <c r="G42" i="1" s="1"/>
  <c r="I42" i="1" s="1"/>
  <c r="E38" i="1"/>
  <c r="F38" i="1"/>
  <c r="G38" i="1" s="1"/>
  <c r="J38" i="1" s="1"/>
  <c r="E41" i="1"/>
  <c r="F41" i="1" s="1"/>
  <c r="G41" i="1" s="1"/>
  <c r="I41" i="1" s="1"/>
  <c r="E43" i="1"/>
  <c r="F43" i="1"/>
  <c r="G43" i="1" s="1"/>
  <c r="J43" i="1" s="1"/>
  <c r="E44" i="1"/>
  <c r="F44" i="1" s="1"/>
  <c r="G44" i="1" s="1"/>
  <c r="J44" i="1" s="1"/>
  <c r="E45" i="1"/>
  <c r="F45" i="1"/>
  <c r="G45" i="1" s="1"/>
  <c r="I45" i="1" s="1"/>
  <c r="E46" i="1"/>
  <c r="F46" i="1" s="1"/>
  <c r="G46" i="1" s="1"/>
  <c r="I46" i="1" s="1"/>
  <c r="E47" i="1"/>
  <c r="F47" i="1" s="1"/>
  <c r="G47" i="1" s="1"/>
  <c r="K47" i="1" s="1"/>
  <c r="E49" i="1"/>
  <c r="F49" i="1"/>
  <c r="G49" i="1" s="1"/>
  <c r="K49" i="1" s="1"/>
  <c r="E50" i="1"/>
  <c r="E18" i="2" s="1"/>
  <c r="F50" i="1"/>
  <c r="G50" i="1" s="1"/>
  <c r="K50" i="1" s="1"/>
  <c r="E51" i="1"/>
  <c r="F51" i="1" s="1"/>
  <c r="G51" i="1" s="1"/>
  <c r="K51" i="1" s="1"/>
  <c r="D9" i="1"/>
  <c r="C9" i="1"/>
  <c r="Q40" i="1"/>
  <c r="Q3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9" i="2"/>
  <c r="C19" i="2"/>
  <c r="G18" i="2"/>
  <c r="C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39" i="2"/>
  <c r="C39" i="2"/>
  <c r="E39" i="2"/>
  <c r="G38" i="2"/>
  <c r="C38" i="2"/>
  <c r="G37" i="2"/>
  <c r="C37" i="2"/>
  <c r="E37" i="2"/>
  <c r="G11" i="2"/>
  <c r="C11" i="2"/>
  <c r="E11" i="2"/>
  <c r="G36" i="2"/>
  <c r="C36" i="2"/>
  <c r="G35" i="2"/>
  <c r="C35" i="2"/>
  <c r="G34" i="2"/>
  <c r="C34" i="2"/>
  <c r="E34" i="2"/>
  <c r="G33" i="2"/>
  <c r="C33" i="2"/>
  <c r="E33" i="2"/>
  <c r="G32" i="2"/>
  <c r="C32" i="2"/>
  <c r="G31" i="2"/>
  <c r="C31" i="2"/>
  <c r="G30" i="2"/>
  <c r="C30" i="2"/>
  <c r="E30" i="2"/>
  <c r="G29" i="2"/>
  <c r="C29" i="2"/>
  <c r="E29" i="2"/>
  <c r="G28" i="2"/>
  <c r="C28" i="2"/>
  <c r="G27" i="2"/>
  <c r="C27" i="2"/>
  <c r="G26" i="2"/>
  <c r="C26" i="2"/>
  <c r="E26" i="2"/>
  <c r="G25" i="2"/>
  <c r="C25" i="2"/>
  <c r="E25" i="2"/>
  <c r="G24" i="2"/>
  <c r="C24" i="2"/>
  <c r="G23" i="2"/>
  <c r="C23" i="2"/>
  <c r="G22" i="2"/>
  <c r="C22" i="2"/>
  <c r="E22" i="2"/>
  <c r="G21" i="2"/>
  <c r="C21" i="2"/>
  <c r="E21" i="2"/>
  <c r="G20" i="2"/>
  <c r="C20" i="2"/>
  <c r="E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39" i="2"/>
  <c r="D39" i="2"/>
  <c r="B39" i="2"/>
  <c r="A39" i="2"/>
  <c r="H38" i="2"/>
  <c r="D38" i="2"/>
  <c r="B38" i="2"/>
  <c r="A38" i="2"/>
  <c r="H37" i="2"/>
  <c r="D37" i="2"/>
  <c r="B37" i="2"/>
  <c r="A37" i="2"/>
  <c r="H11" i="2"/>
  <c r="D11" i="2"/>
  <c r="B11" i="2"/>
  <c r="A11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Q50" i="1"/>
  <c r="Q51" i="1"/>
  <c r="Q49" i="1"/>
  <c r="F16" i="1"/>
  <c r="C17" i="1"/>
  <c r="Q47" i="1"/>
  <c r="Q38" i="1"/>
  <c r="Q43" i="1"/>
  <c r="Q44" i="1"/>
  <c r="Q45" i="1"/>
  <c r="Q46" i="1"/>
  <c r="Q41" i="1"/>
  <c r="C12" i="1"/>
  <c r="C11" i="1"/>
  <c r="F25" i="1" l="1"/>
  <c r="G25" i="1" s="1"/>
  <c r="I25" i="1" s="1"/>
  <c r="O48" i="1"/>
  <c r="E15" i="2"/>
  <c r="E38" i="2"/>
  <c r="E19" i="2"/>
  <c r="O52" i="1"/>
  <c r="C16" i="1"/>
  <c r="D18" i="1" s="1"/>
  <c r="O29" i="1"/>
  <c r="O51" i="1"/>
  <c r="O38" i="1"/>
  <c r="O22" i="1"/>
  <c r="O23" i="1"/>
  <c r="O21" i="1"/>
  <c r="O44" i="1"/>
  <c r="O33" i="1"/>
  <c r="O35" i="1"/>
  <c r="O40" i="1"/>
  <c r="O42" i="1"/>
  <c r="O47" i="1"/>
  <c r="O50" i="1"/>
  <c r="C15" i="1"/>
  <c r="O43" i="1"/>
  <c r="O25" i="1"/>
  <c r="O27" i="1"/>
  <c r="O49" i="1"/>
  <c r="O31" i="1"/>
  <c r="O32" i="1"/>
  <c r="O36" i="1"/>
  <c r="O39" i="1"/>
  <c r="O37" i="1"/>
  <c r="O26" i="1"/>
  <c r="O28" i="1"/>
  <c r="O30" i="1"/>
  <c r="O45" i="1"/>
  <c r="O41" i="1"/>
  <c r="O24" i="1"/>
  <c r="O34" i="1"/>
  <c r="O46" i="1"/>
  <c r="F17" i="1"/>
  <c r="C18" i="1" l="1"/>
  <c r="F18" i="1"/>
  <c r="F19" i="1" s="1"/>
</calcChain>
</file>

<file path=xl/sharedStrings.xml><?xml version="1.0" encoding="utf-8"?>
<sst xmlns="http://schemas.openxmlformats.org/spreadsheetml/2006/main" count="333" uniqueCount="176">
  <si>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</si>
  <si>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</si>
  <si>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</si>
  <si>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</si>
  <si>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</si>
  <si>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</si>
  <si>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</si>
  <si>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</si>
  <si>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</si>
  <si>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</si>
  <si>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</si>
  <si>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</si>
  <si>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</si>
  <si>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</si>
  <si>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</si>
  <si>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</si>
  <si>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</si>
  <si>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</si>
  <si>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</si>
  <si>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</si>
  <si>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</si>
  <si>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</si>
  <si>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</si>
  <si>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</si>
  <si>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</si>
  <si>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</si>
  <si>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</si>
  <si>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S</t>
  </si>
  <si>
    <t>Martignoni</t>
  </si>
  <si>
    <t>M</t>
  </si>
  <si>
    <t>BBSAG Bull.109</t>
  </si>
  <si>
    <t>B</t>
  </si>
  <si>
    <t>Frangeul M</t>
  </si>
  <si>
    <t>BBSAG Bull.111</t>
  </si>
  <si>
    <t>Lloyd 1995</t>
  </si>
  <si>
    <t>Lloyd &amp; Watson 1995Obs...115...75L</t>
  </si>
  <si>
    <t>IBVS 4222</t>
  </si>
  <si>
    <t>IBVS 4327</t>
  </si>
  <si>
    <t>IBVS 5296</t>
  </si>
  <si>
    <t># of data points:</t>
  </si>
  <si>
    <t>EA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</si>
  <si>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</si>
  <si>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</si>
  <si>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</si>
  <si>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</si>
  <si>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</si>
  <si>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</si>
  <si>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</si>
  <si>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</si>
  <si>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IBVS 6007</t>
  </si>
  <si>
    <t>I</t>
  </si>
  <si>
    <t>V0511 Per / GSC 02865-00759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</si>
  <si>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</si>
  <si>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</si>
  <si>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</si>
  <si>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</si>
  <si>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</si>
  <si>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</si>
  <si>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</si>
  <si>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</si>
  <si>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</si>
  <si>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</si>
  <si>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</si>
  <si>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</si>
  <si>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2423088.478 </t>
  </si>
  <si>
    <t> 02.02.1922 23:28 </t>
  </si>
  <si>
    <t> 0.307 </t>
  </si>
  <si>
    <t>P </t>
  </si>
  <si>
    <t> Harvard </t>
  </si>
  <si>
    <t>IBVS 3442 </t>
  </si>
  <si>
    <t>2426051.518 </t>
  </si>
  <si>
    <t> 16.03.1930 00:25 </t>
  </si>
  <si>
    <t> 0.239 </t>
  </si>
  <si>
    <t>2427680.841 </t>
  </si>
  <si>
    <t> 31.08.1934 08:11 </t>
  </si>
  <si>
    <t> 0.309 </t>
  </si>
  <si>
    <t>2427799.517 </t>
  </si>
  <si>
    <t> 28.12.1934 00:24 </t>
  </si>
  <si>
    <t> 0.217 </t>
  </si>
  <si>
    <t>2428478.656 </t>
  </si>
  <si>
    <t> 06.11.1936 03:44 </t>
  </si>
  <si>
    <t> 0.247 </t>
  </si>
  <si>
    <t>2428484.743 </t>
  </si>
  <si>
    <t> 12.11.1936 05:49 </t>
  </si>
  <si>
    <t> 0.243 </t>
  </si>
  <si>
    <t>2428877.553 </t>
  </si>
  <si>
    <t> 10.12.1937 01:16 </t>
  </si>
  <si>
    <t> 0.206 </t>
  </si>
  <si>
    <t>2430296.595 </t>
  </si>
  <si>
    <t> 29.10.1941 02:16 </t>
  </si>
  <si>
    <t> 0.123 </t>
  </si>
  <si>
    <t>2430573.811 </t>
  </si>
  <si>
    <t> 02.08.1942 07:27 </t>
  </si>
  <si>
    <t> 0.214 </t>
  </si>
  <si>
    <t>2430981.796 </t>
  </si>
  <si>
    <t> 14.09.1943 07:06 </t>
  </si>
  <si>
    <t> 0.124 </t>
  </si>
  <si>
    <t>2445227.756 </t>
  </si>
  <si>
    <t> 15.09.1982 06:08 </t>
  </si>
  <si>
    <t> 0.021 </t>
  </si>
  <si>
    <t>2446488.523 </t>
  </si>
  <si>
    <t> 27.02.1986 00:33 </t>
  </si>
  <si>
    <t>2447383.841 </t>
  </si>
  <si>
    <t> 10.08.1988 08:11 </t>
  </si>
  <si>
    <t> 0.011 </t>
  </si>
  <si>
    <t>2447502.610 </t>
  </si>
  <si>
    <t> 07.12.1988 02:38 </t>
  </si>
  <si>
    <t> 0.012 </t>
  </si>
  <si>
    <t> D.H.Kaiser </t>
  </si>
  <si>
    <t>2447505.664 </t>
  </si>
  <si>
    <t> 10.12.1988 03:56 </t>
  </si>
  <si>
    <t>2447636.590 </t>
  </si>
  <si>
    <t> 20.04.1989 02:09 </t>
  </si>
  <si>
    <t> -0.002 </t>
  </si>
  <si>
    <t>V </t>
  </si>
  <si>
    <t> M.Baldwin </t>
  </si>
  <si>
    <t>2447718.839 </t>
  </si>
  <si>
    <t> 11.07.1989 08:08 </t>
  </si>
  <si>
    <t> 0.023 </t>
  </si>
  <si>
    <t>2448169.5174 </t>
  </si>
  <si>
    <t> 05.10.1990 00:25 </t>
  </si>
  <si>
    <t> -0.0082 </t>
  </si>
  <si>
    <t>E </t>
  </si>
  <si>
    <t>?</t>
  </si>
  <si>
    <t> Özdemir&amp;Tanriver </t>
  </si>
  <si>
    <t>IBVS 4327 </t>
  </si>
  <si>
    <t>2448562.35 </t>
  </si>
  <si>
    <t> 01.11.1991 20:24 </t>
  </si>
  <si>
    <t> -0.02 </t>
  </si>
  <si>
    <t>B;V</t>
  </si>
  <si>
    <t> F.Agerer </t>
  </si>
  <si>
    <t>BAVM 62 </t>
  </si>
  <si>
    <t>2449049.621 </t>
  </si>
  <si>
    <t> 03.03.1993 02:54 </t>
  </si>
  <si>
    <t> -0.006 </t>
  </si>
  <si>
    <t>G</t>
  </si>
  <si>
    <t> Watson &amp; Lloyd </t>
  </si>
  <si>
    <t>IBVS 4008 </t>
  </si>
  <si>
    <t>2449640.4323 </t>
  </si>
  <si>
    <t> 14.10.1994 22:22 </t>
  </si>
  <si>
    <t> 0.0114 </t>
  </si>
  <si>
    <t>BAVM 80 </t>
  </si>
  <si>
    <t>2449640.4360 </t>
  </si>
  <si>
    <t> 14.10.1994 22:27 </t>
  </si>
  <si>
    <t> 0.0151 </t>
  </si>
  <si>
    <t>2449745.449 </t>
  </si>
  <si>
    <t> 27.01.1995 22:46 </t>
  </si>
  <si>
    <t> -0.036 </t>
  </si>
  <si>
    <t> M.Martignoni </t>
  </si>
  <si>
    <t> BBS 109 </t>
  </si>
  <si>
    <t>2450103.301 </t>
  </si>
  <si>
    <t> 20.01.1996 19:13 </t>
  </si>
  <si>
    <t> -0.010 </t>
  </si>
  <si>
    <t> M.Frangeul </t>
  </si>
  <si>
    <t> BBS 111 </t>
  </si>
  <si>
    <t>2451799.5604 </t>
  </si>
  <si>
    <t> 12.09.2000 01:26 </t>
  </si>
  <si>
    <t> -0.0009 </t>
  </si>
  <si>
    <t>BAVM 152 </t>
  </si>
  <si>
    <t>2455831.58225 </t>
  </si>
  <si>
    <t> 27.09.2011 01:58 </t>
  </si>
  <si>
    <t> 0.00137 </t>
  </si>
  <si>
    <t>C </t>
  </si>
  <si>
    <t> R.Uhlar </t>
  </si>
  <si>
    <t>IBVS 6007 </t>
  </si>
  <si>
    <t>2456218.32273 </t>
  </si>
  <si>
    <t> 17.10.2012 19:44 </t>
  </si>
  <si>
    <t> -0.01531 </t>
  </si>
  <si>
    <t> M.Urbanik </t>
  </si>
  <si>
    <t>OEJV 0160 </t>
  </si>
  <si>
    <t>2456352.29966 </t>
  </si>
  <si>
    <t> 28.02.2013 19:11 </t>
  </si>
  <si>
    <t> -0.03299 </t>
  </si>
  <si>
    <t>JBAV, 60</t>
  </si>
  <si>
    <t>VSX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</si>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</sst>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/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V0511 Per - O-C Diagr.</a:t>
            </a:r>
          </a:p>
        </c:rich>
      </c:tx>
      <c:layout>
        <c:manualLayout>
          <c:xMode val="edge"/>
          <c:yMode val="edge"/>
          <c:x val="0.3766048502139800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96148359486448"/>
          <c:y val="0.14769252958613219"/>
          <c:w val="0.8259629101283880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0D-4BF8-B07B-364B4E7621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0.27581099999588332</c:v>
                </c:pt>
                <c:pt idx="1">
                  <c:v>0.21069399999760208</c:v>
                </c:pt>
                <c:pt idx="2">
                  <c:v>0.28267899999991641</c:v>
                </c:pt>
                <c:pt idx="3">
                  <c:v>0.19084799999836832</c:v>
                </c:pt>
                <c:pt idx="4">
                  <c:v>0.22148099999685655</c:v>
                </c:pt>
                <c:pt idx="5">
                  <c:v>0.21782299999540555</c:v>
                </c:pt>
                <c:pt idx="6">
                  <c:v>0.18038199999864446</c:v>
                </c:pt>
                <c:pt idx="7">
                  <c:v>9.906799999953364E-2</c:v>
                </c:pt>
                <c:pt idx="8">
                  <c:v>0.19012899999870569</c:v>
                </c:pt>
                <c:pt idx="9">
                  <c:v>0.10104299999511568</c:v>
                </c:pt>
                <c:pt idx="10">
                  <c:v>1.1980999996012542E-2</c:v>
                </c:pt>
                <c:pt idx="11">
                  <c:v>1.2774999995599501E-2</c:v>
                </c:pt>
                <c:pt idx="12">
                  <c:v>4.0489999955752864E-3</c:v>
                </c:pt>
                <c:pt idx="13">
                  <c:v>5.2179999984218739E-3</c:v>
                </c:pt>
                <c:pt idx="14">
                  <c:v>1.3888999994378537E-2</c:v>
                </c:pt>
                <c:pt idx="15">
                  <c:v>-9.2580000055022538E-3</c:v>
                </c:pt>
                <c:pt idx="16">
                  <c:v>1.5858999999181833E-2</c:v>
                </c:pt>
                <c:pt idx="18">
                  <c:v>-2.9274000007717405E-2</c:v>
                </c:pt>
                <c:pt idx="19">
                  <c:v>-2.9274000007717405E-2</c:v>
                </c:pt>
                <c:pt idx="20">
                  <c:v>-1.4914000006683636E-2</c:v>
                </c:pt>
                <c:pt idx="21">
                  <c:v>-1.0914000005868729E-2</c:v>
                </c:pt>
                <c:pt idx="24">
                  <c:v>-4.0590500000689644E-2</c:v>
                </c:pt>
                <c:pt idx="25">
                  <c:v>-1.4748000001418404E-2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0D-4BF8-B07B-364B4E7621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7">
                    <c:v>2.3999999999999998E-3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7">
                    <c:v>2.3999999999999998E-3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7">
                  <c:v>-1.4433000003919005E-2</c:v>
                </c:pt>
                <c:pt idx="22">
                  <c:v>6.5599999943515286E-3</c:v>
                </c:pt>
                <c:pt idx="23">
                  <c:v>1.0259999995469116E-2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0D-4BF8-B07B-364B4E7621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6">
                  <c:v>-3.6010000039823353E-3</c:v>
                </c:pt>
                <c:pt idx="28">
                  <c:v>2.6529999959166162E-3</c:v>
                </c:pt>
                <c:pt idx="29">
                  <c:v>-1.3650000000779983E-2</c:v>
                </c:pt>
                <c:pt idx="30">
                  <c:v>-3.1196000003546942E-2</c:v>
                </c:pt>
                <c:pt idx="31">
                  <c:v>-3.6439000003156252E-2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0D-4BF8-B07B-364B4E7621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0D-4BF8-B07B-364B4E7621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0D-4BF8-B07B-364B4E7621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7">
                    <c:v>2.3999999999999998E-3</c:v>
                  </c:pt>
                  <c:pt idx="22">
                    <c:v>1.4E-3</c:v>
                  </c:pt>
                  <c:pt idx="23">
                    <c:v>1E-3</c:v>
                  </c:pt>
                  <c:pt idx="24">
                    <c:v>8.9999999999999993E-3</c:v>
                  </c:pt>
                  <c:pt idx="25">
                    <c:v>0.01</c:v>
                  </c:pt>
                  <c:pt idx="26">
                    <c:v>8.9999999999999998E-4</c:v>
                  </c:pt>
                  <c:pt idx="28">
                    <c:v>7.2999999999999996E-4</c:v>
                  </c:pt>
                  <c:pt idx="29">
                    <c:v>1E-4</c:v>
                  </c:pt>
                  <c:pt idx="30">
                    <c:v>4.0000000000000002E-4</c:v>
                  </c:pt>
                  <c:pt idx="3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0D-4BF8-B07B-364B4E7621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-9659</c:v>
                </c:pt>
                <c:pt idx="1">
                  <c:v>-8686</c:v>
                </c:pt>
                <c:pt idx="2">
                  <c:v>-8151</c:v>
                </c:pt>
                <c:pt idx="3">
                  <c:v>-8112</c:v>
                </c:pt>
                <c:pt idx="4">
                  <c:v>-7889</c:v>
                </c:pt>
                <c:pt idx="5">
                  <c:v>-7887</c:v>
                </c:pt>
                <c:pt idx="6">
                  <c:v>-7758</c:v>
                </c:pt>
                <c:pt idx="7">
                  <c:v>-7292</c:v>
                </c:pt>
                <c:pt idx="8">
                  <c:v>-7201</c:v>
                </c:pt>
                <c:pt idx="9">
                  <c:v>-7067</c:v>
                </c:pt>
                <c:pt idx="10">
                  <c:v>-2389</c:v>
                </c:pt>
                <c:pt idx="11">
                  <c:v>-1975</c:v>
                </c:pt>
                <c:pt idx="12">
                  <c:v>-1681</c:v>
                </c:pt>
                <c:pt idx="13">
                  <c:v>-1642</c:v>
                </c:pt>
                <c:pt idx="14">
                  <c:v>-1641</c:v>
                </c:pt>
                <c:pt idx="15">
                  <c:v>-1598</c:v>
                </c:pt>
                <c:pt idx="16">
                  <c:v>-1571</c:v>
                </c:pt>
                <c:pt idx="17">
                  <c:v>-1423</c:v>
                </c:pt>
                <c:pt idx="18">
                  <c:v>-1294</c:v>
                </c:pt>
                <c:pt idx="19">
                  <c:v>-1294</c:v>
                </c:pt>
                <c:pt idx="20">
                  <c:v>-1134</c:v>
                </c:pt>
                <c:pt idx="21">
                  <c:v>-1134</c:v>
                </c:pt>
                <c:pt idx="22">
                  <c:v>-940</c:v>
                </c:pt>
                <c:pt idx="23">
                  <c:v>-940</c:v>
                </c:pt>
                <c:pt idx="24">
                  <c:v>-905.5</c:v>
                </c:pt>
                <c:pt idx="25">
                  <c:v>-788</c:v>
                </c:pt>
                <c:pt idx="26">
                  <c:v>-231</c:v>
                </c:pt>
                <c:pt idx="27">
                  <c:v>0</c:v>
                </c:pt>
                <c:pt idx="28">
                  <c:v>1093</c:v>
                </c:pt>
                <c:pt idx="29">
                  <c:v>1220</c:v>
                </c:pt>
                <c:pt idx="30">
                  <c:v>1264</c:v>
                </c:pt>
                <c:pt idx="31">
                  <c:v>2191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5.1916878192910534E-2</c:v>
                </c:pt>
                <c:pt idx="1">
                  <c:v>4.5417040891826937E-2</c:v>
                </c:pt>
                <c:pt idx="2">
                  <c:v>4.1843132406647367E-2</c:v>
                </c:pt>
                <c:pt idx="3">
                  <c:v>4.1582604498381942E-2</c:v>
                </c:pt>
                <c:pt idx="4">
                  <c:v>4.0092919279325782E-2</c:v>
                </c:pt>
                <c:pt idx="5">
                  <c:v>4.0079558873773707E-2</c:v>
                </c:pt>
                <c:pt idx="6">
                  <c:v>3.921781271566499E-2</c:v>
                </c:pt>
                <c:pt idx="7">
                  <c:v>3.6104838222031942E-2</c:v>
                </c:pt>
                <c:pt idx="8">
                  <c:v>3.5496939769412608E-2</c:v>
                </c:pt>
                <c:pt idx="9">
                  <c:v>3.4601792597423707E-2</c:v>
                </c:pt>
                <c:pt idx="10">
                  <c:v>3.3518040111245716E-3</c:v>
                </c:pt>
                <c:pt idx="11">
                  <c:v>5.8620006184542488E-4</c:v>
                </c:pt>
                <c:pt idx="12">
                  <c:v>-1.3777795543093302E-3</c:v>
                </c:pt>
                <c:pt idx="13">
                  <c:v>-1.6383074625747583E-3</c:v>
                </c:pt>
                <c:pt idx="14">
                  <c:v>-1.6449876653507941E-3</c:v>
                </c:pt>
                <c:pt idx="15">
                  <c:v>-1.932236384720367E-3</c:v>
                </c:pt>
                <c:pt idx="16">
                  <c:v>-2.1126018596733555E-3</c:v>
                </c:pt>
                <c:pt idx="17">
                  <c:v>-3.1012718705267697E-3</c:v>
                </c:pt>
                <c:pt idx="18">
                  <c:v>-3.9630180286354885E-3</c:v>
                </c:pt>
                <c:pt idx="19">
                  <c:v>-3.9630180286354885E-3</c:v>
                </c:pt>
                <c:pt idx="20">
                  <c:v>-5.0318504728013424E-3</c:v>
                </c:pt>
                <c:pt idx="21">
                  <c:v>-5.0318504728013424E-3</c:v>
                </c:pt>
                <c:pt idx="22">
                  <c:v>-6.3278098113524403E-3</c:v>
                </c:pt>
                <c:pt idx="23">
                  <c:v>-6.3278098113524403E-3</c:v>
                </c:pt>
                <c:pt idx="24">
                  <c:v>-6.5582768071257022E-3</c:v>
                </c:pt>
                <c:pt idx="25">
                  <c:v>-7.343200633310001E-3</c:v>
                </c:pt>
                <c:pt idx="26">
                  <c:v>-1.1064073579562378E-2</c:v>
                </c:pt>
                <c:pt idx="27">
                  <c:v>-1.2607200420826829E-2</c:v>
                </c:pt>
                <c:pt idx="28">
                  <c:v>-1.9908662055034814E-2</c:v>
                </c:pt>
                <c:pt idx="29">
                  <c:v>-2.075704780759146E-2</c:v>
                </c:pt>
                <c:pt idx="30">
                  <c:v>-2.1050976729737072E-2</c:v>
                </c:pt>
                <c:pt idx="31">
                  <c:v>-2.7243524703122985E-2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0D-4BF8-B07B-364B4E762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530592"/>
        <c:axId val="1"/>
      </c:scatterChart>
      <c:valAx>
        <c:axId val="42153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112696148358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7560627674750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72895863052783"/>
          <c:y val="0.92000129214617399"/>
          <c:w val="0.700427960057061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561975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C501E3-23CA-077B-A6DF-1C937CB38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442" TargetMode="External"/><Relationship Id="rId13" Type="http://schemas.openxmlformats.org/officeDocument/2006/relationships/hyperlink" Target="http://www.konkoly.hu/cgi-bin/IBVS?3442" TargetMode="External"/><Relationship Id="rId18" Type="http://schemas.openxmlformats.org/officeDocument/2006/relationships/hyperlink" Target="http://www.konkoly.hu/cgi-bin/IBVS?4327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3442" TargetMode="External"/><Relationship Id="rId21" Type="http://schemas.openxmlformats.org/officeDocument/2006/relationships/hyperlink" Target="http://www.konkoly.hu/cgi-bin/IBVS?4008" TargetMode="External"/><Relationship Id="rId7" Type="http://schemas.openxmlformats.org/officeDocument/2006/relationships/hyperlink" Target="http://www.konkoly.hu/cgi-bin/IBVS?3442" TargetMode="External"/><Relationship Id="rId12" Type="http://schemas.openxmlformats.org/officeDocument/2006/relationships/hyperlink" Target="http://www.konkoly.hu/cgi-bin/IBVS?3442" TargetMode="External"/><Relationship Id="rId17" Type="http://schemas.openxmlformats.org/officeDocument/2006/relationships/hyperlink" Target="http://www.konkoly.hu/cgi-bin/IBVS?3442" TargetMode="External"/><Relationship Id="rId25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3442" TargetMode="External"/><Relationship Id="rId16" Type="http://schemas.openxmlformats.org/officeDocument/2006/relationships/hyperlink" Target="http://www.konkoly.hu/cgi-bin/IBVS?3442" TargetMode="External"/><Relationship Id="rId20" Type="http://schemas.openxmlformats.org/officeDocument/2006/relationships/hyperlink" Target="http://www.bav-astro.de/sfs/BAVM_link.php?BAVMnr=62" TargetMode="External"/><Relationship Id="rId1" Type="http://schemas.openxmlformats.org/officeDocument/2006/relationships/hyperlink" Target="http://www.konkoly.hu/cgi-bin/IBVS?3442" TargetMode="External"/><Relationship Id="rId6" Type="http://schemas.openxmlformats.org/officeDocument/2006/relationships/hyperlink" Target="http://www.konkoly.hu/cgi-bin/IBVS?3442" TargetMode="External"/><Relationship Id="rId11" Type="http://schemas.openxmlformats.org/officeDocument/2006/relationships/hyperlink" Target="http://www.konkoly.hu/cgi-bin/IBVS?3442" TargetMode="External"/><Relationship Id="rId24" Type="http://schemas.openxmlformats.org/officeDocument/2006/relationships/hyperlink" Target="http://www.bav-astro.de/sfs/BAVM_link.php?BAVMnr=152" TargetMode="External"/><Relationship Id="rId5" Type="http://schemas.openxmlformats.org/officeDocument/2006/relationships/hyperlink" Target="http://www.konkoly.hu/cgi-bin/IBVS?3442" TargetMode="External"/><Relationship Id="rId15" Type="http://schemas.openxmlformats.org/officeDocument/2006/relationships/hyperlink" Target="http://www.konkoly.hu/cgi-bin/IBVS?3442" TargetMode="External"/><Relationship Id="rId23" Type="http://schemas.openxmlformats.org/officeDocument/2006/relationships/hyperlink" Target="http://www.bav-astro.de/sfs/BAVM_link.php?BAVMnr=80" TargetMode="External"/><Relationship Id="rId10" Type="http://schemas.openxmlformats.org/officeDocument/2006/relationships/hyperlink" Target="http://www.konkoly.hu/cgi-bin/IBVS?3442" TargetMode="External"/><Relationship Id="rId19" Type="http://schemas.openxmlformats.org/officeDocument/2006/relationships/hyperlink" Target="http://www.bav-astro.de/sfs/BAVM_link.php?BAVMnr=62" TargetMode="External"/><Relationship Id="rId4" Type="http://schemas.openxmlformats.org/officeDocument/2006/relationships/hyperlink" Target="http://www.konkoly.hu/cgi-bin/IBVS?3442" TargetMode="External"/><Relationship Id="rId9" Type="http://schemas.openxmlformats.org/officeDocument/2006/relationships/hyperlink" Target="http://www.konkoly.hu/cgi-bin/IBVS?3442" TargetMode="External"/><Relationship Id="rId14" Type="http://schemas.openxmlformats.org/officeDocument/2006/relationships/hyperlink" Target="http://www.konkoly.hu/cgi-bin/IBVS?3442" TargetMode="External"/><Relationship Id="rId22" Type="http://schemas.openxmlformats.org/officeDocument/2006/relationships/hyperlink" Target="http://www.bav-astro.de/sfs/BAVM_link.php?BAVMnr=80" TargetMode="External"/><Relationship Id="rId27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08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23</v>
      </c>
      <c r="B2" s="10" t="s">
        <v>40</v>
      </c>
    </row>
    <row r="4" spans="1:6" ht="14.25" thickTop="1" thickBot="1" x14ac:dyDescent="0.25">
      <c r="A4" s="4" t="s">
        <v>0</v>
      </c>
      <c r="C4" s="7" t="s">
        <v>13</v>
      </c>
      <c r="D4" s="8" t="s">
        <v>13</v>
      </c>
    </row>
    <row r="5" spans="1:6" ht="13.5" thickTop="1" x14ac:dyDescent="0.2">
      <c r="A5" s="13" t="s">
        <v>41</v>
      </c>
      <c r="B5" s="9"/>
      <c r="C5" s="14">
        <v>-9.5</v>
      </c>
      <c r="D5" s="9" t="s">
        <v>42</v>
      </c>
    </row>
    <row r="6" spans="1:6" x14ac:dyDescent="0.2">
      <c r="A6" s="4" t="s">
        <v>1</v>
      </c>
    </row>
    <row r="7" spans="1:6" x14ac:dyDescent="0.2">
      <c r="A7" t="s">
        <v>2</v>
      </c>
      <c r="C7">
        <v>52503.035000000003</v>
      </c>
      <c r="D7" s="56" t="s">
        <v>174</v>
      </c>
    </row>
    <row r="8" spans="1:6" x14ac:dyDescent="0.2">
      <c r="A8" t="s">
        <v>3</v>
      </c>
      <c r="C8">
        <v>3.0453290000000002</v>
      </c>
      <c r="D8" s="56" t="s">
        <v>174</v>
      </c>
    </row>
    <row r="9" spans="1:6" x14ac:dyDescent="0.2">
      <c r="A9" s="28" t="s">
        <v>48</v>
      </c>
      <c r="B9" s="29">
        <v>31</v>
      </c>
      <c r="C9" s="26" t="str">
        <f>"F"&amp;B9</f>
        <v>F31</v>
      </c>
      <c r="D9" s="27" t="str">
        <f>"G"&amp;B9</f>
        <v>G31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5">
        <f ca="1">INTERCEPT(INDIRECT($D$9):G992,INDIRECT($C$9):F992)</f>
        <v>-1.2607200420826829E-2</v>
      </c>
      <c r="D11" s="15"/>
      <c r="E11" s="9"/>
    </row>
    <row r="12" spans="1:6" x14ac:dyDescent="0.2">
      <c r="A12" s="9" t="s">
        <v>16</v>
      </c>
      <c r="B12" s="9"/>
      <c r="C12" s="25">
        <f ca="1">SLOPE(INDIRECT($D$9):G992,INDIRECT($C$9):F992)</f>
        <v>-6.6802027760365841E-6</v>
      </c>
      <c r="D12" s="15"/>
      <c r="E12" s="9"/>
    </row>
    <row r="13" spans="1:6" x14ac:dyDescent="0.2">
      <c r="A13" s="9" t="s">
        <v>18</v>
      </c>
      <c r="B13" s="9"/>
      <c r="C13" s="15" t="s">
        <v>13</v>
      </c>
    </row>
    <row r="14" spans="1:6" x14ac:dyDescent="0.2">
      <c r="A14" s="9"/>
      <c r="B14" s="9"/>
      <c r="C14" s="9"/>
    </row>
    <row r="15" spans="1:6" x14ac:dyDescent="0.2">
      <c r="A15" s="16" t="s">
        <v>17</v>
      </c>
      <c r="B15" s="9"/>
      <c r="C15" s="17">
        <f ca="1">(C7+C11)+(C8+C12)*INT(MAX(F21:F3533))</f>
        <v>59175.323595475304</v>
      </c>
      <c r="E15" s="18" t="s">
        <v>46</v>
      </c>
      <c r="F15" s="14">
        <v>1</v>
      </c>
    </row>
    <row r="16" spans="1:6" x14ac:dyDescent="0.2">
      <c r="A16" s="20" t="s">
        <v>4</v>
      </c>
      <c r="B16" s="9"/>
      <c r="C16" s="21">
        <f ca="1">+C8+C12</f>
        <v>3.0453223197972243</v>
      </c>
      <c r="E16" s="18" t="s">
        <v>43</v>
      </c>
      <c r="F16" s="19">
        <f ca="1">NOW()+15018.5+$C$5/24</f>
        <v>60372.804797453704</v>
      </c>
    </row>
    <row r="17" spans="1:17" ht="13.5" thickBot="1" x14ac:dyDescent="0.25">
      <c r="A17" s="18" t="s">
        <v>39</v>
      </c>
      <c r="B17" s="9"/>
      <c r="C17" s="9">
        <f>COUNT(C21:C2191)</f>
        <v>32</v>
      </c>
      <c r="E17" s="18" t="s">
        <v>47</v>
      </c>
      <c r="F17" s="19">
        <f ca="1">ROUND(2*(F16-$C$7)/$C$8,0)/2+F15</f>
        <v>2585</v>
      </c>
    </row>
    <row r="18" spans="1:17" ht="14.25" thickTop="1" thickBot="1" x14ac:dyDescent="0.25">
      <c r="A18" s="20" t="s">
        <v>5</v>
      </c>
      <c r="B18" s="9"/>
      <c r="C18" s="23">
        <f ca="1">+C15</f>
        <v>59175.323595475304</v>
      </c>
      <c r="D18" s="24">
        <f ca="1">+C16</f>
        <v>3.0453223197972243</v>
      </c>
      <c r="E18" s="18" t="s">
        <v>44</v>
      </c>
      <c r="F18" s="27">
        <f ca="1">ROUND(2*(F16-$C$15)/$C$16,0)/2+F15</f>
        <v>394</v>
      </c>
    </row>
    <row r="19" spans="1:17" ht="13.5" thickTop="1" x14ac:dyDescent="0.2">
      <c r="E19" s="18" t="s">
        <v>45</v>
      </c>
      <c r="F19" s="22">
        <f ca="1">+$C$15+$C$16*F18-15018.5-$C$5/24</f>
        <v>45357.076422808743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174</v>
      </c>
      <c r="I20" s="6" t="s">
        <v>175</v>
      </c>
      <c r="J20" s="6" t="s">
        <v>57</v>
      </c>
      <c r="K20" s="6" t="s">
        <v>55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x14ac:dyDescent="0.2">
      <c r="A21" s="51" t="s">
        <v>69</v>
      </c>
      <c r="B21" s="53" t="s">
        <v>50</v>
      </c>
      <c r="C21" s="52">
        <v>23088.477999999999</v>
      </c>
      <c r="D21" s="12"/>
      <c r="E21">
        <f>+(C21-C$7)/C$8</f>
        <v>-9658.9094314604445</v>
      </c>
      <c r="F21">
        <f>ROUND(2*E21,0)/2</f>
        <v>-9659</v>
      </c>
      <c r="G21">
        <f>+C21-(C$7+F21*C$8)</f>
        <v>0.27581099999588332</v>
      </c>
      <c r="I21">
        <f>G21</f>
        <v>0.27581099999588332</v>
      </c>
      <c r="O21">
        <f ca="1">+C$11+C$12*F21</f>
        <v>5.1916878192910534E-2</v>
      </c>
      <c r="Q21" s="2">
        <f>+C21-15018.5</f>
        <v>8069.9779999999992</v>
      </c>
    </row>
    <row r="22" spans="1:17" x14ac:dyDescent="0.2">
      <c r="A22" s="51" t="s">
        <v>69</v>
      </c>
      <c r="B22" s="53" t="s">
        <v>50</v>
      </c>
      <c r="C22" s="52">
        <v>26051.518</v>
      </c>
      <c r="D22" s="11"/>
      <c r="E22">
        <f>+(C22-C$7)/C$8</f>
        <v>-8685.9308140434096</v>
      </c>
      <c r="F22">
        <f>ROUND(2*E22,0)/2</f>
        <v>-8686</v>
      </c>
      <c r="G22">
        <f>+C22-(C$7+F22*C$8)</f>
        <v>0.21069399999760208</v>
      </c>
      <c r="I22">
        <f>G22</f>
        <v>0.21069399999760208</v>
      </c>
      <c r="O22">
        <f ca="1">+C$11+C$12*F22</f>
        <v>4.5417040891826937E-2</v>
      </c>
      <c r="Q22" s="2">
        <f>+C22-15018.5</f>
        <v>11033.018</v>
      </c>
    </row>
    <row r="23" spans="1:17" x14ac:dyDescent="0.2">
      <c r="A23" s="51" t="s">
        <v>69</v>
      </c>
      <c r="B23" s="53" t="s">
        <v>50</v>
      </c>
      <c r="C23" s="52">
        <v>27680.841</v>
      </c>
      <c r="D23" s="11"/>
      <c r="E23">
        <f>+(C23-C$7)/C$8</f>
        <v>-8150.9071762032945</v>
      </c>
      <c r="F23">
        <f>ROUND(2*E23,0)/2</f>
        <v>-8151</v>
      </c>
      <c r="G23">
        <f>+C23-(C$7+F23*C$8)</f>
        <v>0.28267899999991641</v>
      </c>
      <c r="I23">
        <f>G23</f>
        <v>0.28267899999991641</v>
      </c>
      <c r="O23">
        <f ca="1">+C$11+C$12*F23</f>
        <v>4.1843132406647367E-2</v>
      </c>
      <c r="Q23" s="2">
        <f>+C23-15018.5</f>
        <v>12662.341</v>
      </c>
    </row>
    <row r="24" spans="1:17" x14ac:dyDescent="0.2">
      <c r="A24" s="51" t="s">
        <v>69</v>
      </c>
      <c r="B24" s="53" t="s">
        <v>50</v>
      </c>
      <c r="C24" s="52">
        <v>27799.517</v>
      </c>
      <c r="D24" s="11"/>
      <c r="E24">
        <f>+(C24-C$7)/C$8</f>
        <v>-8111.9373309090752</v>
      </c>
      <c r="F24">
        <f>ROUND(2*E24,0)/2</f>
        <v>-8112</v>
      </c>
      <c r="G24">
        <f>+C24-(C$7+F24*C$8)</f>
        <v>0.19084799999836832</v>
      </c>
      <c r="I24">
        <f>G24</f>
        <v>0.19084799999836832</v>
      </c>
      <c r="O24">
        <f ca="1">+C$11+C$12*F24</f>
        <v>4.1582604498381942E-2</v>
      </c>
      <c r="Q24" s="2">
        <f>+C24-15018.5</f>
        <v>12781.017</v>
      </c>
    </row>
    <row r="25" spans="1:17" x14ac:dyDescent="0.2">
      <c r="A25" s="51" t="s">
        <v>69</v>
      </c>
      <c r="B25" s="53" t="s">
        <v>50</v>
      </c>
      <c r="C25" s="52">
        <v>28478.655999999999</v>
      </c>
      <c r="D25" s="11"/>
      <c r="E25">
        <f>+(C25-C$7)/C$8</f>
        <v>-7888.9272718973889</v>
      </c>
      <c r="F25">
        <f>ROUND(2*E25,0)/2</f>
        <v>-7889</v>
      </c>
      <c r="G25">
        <f>+C25-(C$7+F25*C$8)</f>
        <v>0.22148099999685655</v>
      </c>
      <c r="I25">
        <f>G25</f>
        <v>0.22148099999685655</v>
      </c>
      <c r="O25">
        <f ca="1">+C$11+C$12*F25</f>
        <v>4.0092919279325782E-2</v>
      </c>
      <c r="Q25" s="2">
        <f>+C25-15018.5</f>
        <v>13460.155999999999</v>
      </c>
    </row>
    <row r="26" spans="1:17" x14ac:dyDescent="0.2">
      <c r="A26" s="51" t="s">
        <v>69</v>
      </c>
      <c r="B26" s="53" t="s">
        <v>50</v>
      </c>
      <c r="C26" s="52">
        <v>28484.742999999999</v>
      </c>
      <c r="D26" s="11"/>
      <c r="E26">
        <f>+(C26-C$7)/C$8</f>
        <v>-7886.9284730812351</v>
      </c>
      <c r="F26">
        <f>ROUND(2*E26,0)/2</f>
        <v>-7887</v>
      </c>
      <c r="G26">
        <f>+C26-(C$7+F26*C$8)</f>
        <v>0.21782299999540555</v>
      </c>
      <c r="I26">
        <f>G26</f>
        <v>0.21782299999540555</v>
      </c>
      <c r="O26">
        <f ca="1">+C$11+C$12*F26</f>
        <v>4.0079558873773707E-2</v>
      </c>
      <c r="Q26" s="2">
        <f>+C26-15018.5</f>
        <v>13466.242999999999</v>
      </c>
    </row>
    <row r="27" spans="1:17" x14ac:dyDescent="0.2">
      <c r="A27" s="51" t="s">
        <v>69</v>
      </c>
      <c r="B27" s="53" t="s">
        <v>50</v>
      </c>
      <c r="C27" s="52">
        <v>28877.553</v>
      </c>
      <c r="D27" s="11"/>
      <c r="E27">
        <f>+(C27-C$7)/C$8</f>
        <v>-7757.9407676477658</v>
      </c>
      <c r="F27">
        <f>ROUND(2*E27,0)/2</f>
        <v>-7758</v>
      </c>
      <c r="G27">
        <f>+C27-(C$7+F27*C$8)</f>
        <v>0.18038199999864446</v>
      </c>
      <c r="I27">
        <f>G27</f>
        <v>0.18038199999864446</v>
      </c>
      <c r="O27">
        <f ca="1">+C$11+C$12*F27</f>
        <v>3.921781271566499E-2</v>
      </c>
      <c r="Q27" s="2">
        <f>+C27-15018.5</f>
        <v>13859.053</v>
      </c>
    </row>
    <row r="28" spans="1:17" x14ac:dyDescent="0.2">
      <c r="A28" s="51" t="s">
        <v>69</v>
      </c>
      <c r="B28" s="53" t="s">
        <v>50</v>
      </c>
      <c r="C28" s="52">
        <v>30296.595000000001</v>
      </c>
      <c r="D28" s="11"/>
      <c r="E28">
        <f>+(C28-C$7)/C$8</f>
        <v>-7291.9674688678961</v>
      </c>
      <c r="F28">
        <f>ROUND(2*E28,0)/2</f>
        <v>-7292</v>
      </c>
      <c r="G28">
        <f>+C28-(C$7+F28*C$8)</f>
        <v>9.906799999953364E-2</v>
      </c>
      <c r="I28">
        <f>G28</f>
        <v>9.906799999953364E-2</v>
      </c>
      <c r="O28">
        <f ca="1">+C$11+C$12*F28</f>
        <v>3.6104838222031942E-2</v>
      </c>
      <c r="Q28" s="2">
        <f>+C28-15018.5</f>
        <v>15278.095000000001</v>
      </c>
    </row>
    <row r="29" spans="1:17" x14ac:dyDescent="0.2">
      <c r="A29" s="51" t="s">
        <v>69</v>
      </c>
      <c r="B29" s="53" t="s">
        <v>50</v>
      </c>
      <c r="C29" s="52">
        <v>30573.811000000002</v>
      </c>
      <c r="D29" s="11"/>
      <c r="E29">
        <f>+(C29-C$7)/C$8</f>
        <v>-7200.93756700836</v>
      </c>
      <c r="F29">
        <f>ROUND(2*E29,0)/2</f>
        <v>-7201</v>
      </c>
      <c r="G29">
        <f>+C29-(C$7+F29*C$8)</f>
        <v>0.19012899999870569</v>
      </c>
      <c r="I29">
        <f>G29</f>
        <v>0.19012899999870569</v>
      </c>
      <c r="O29">
        <f ca="1">+C$11+C$12*F29</f>
        <v>3.5496939769412608E-2</v>
      </c>
      <c r="Q29" s="2">
        <f>+C29-15018.5</f>
        <v>15555.311000000002</v>
      </c>
    </row>
    <row r="30" spans="1:17" x14ac:dyDescent="0.2">
      <c r="A30" s="51" t="s">
        <v>69</v>
      </c>
      <c r="B30" s="53" t="s">
        <v>50</v>
      </c>
      <c r="C30" s="52">
        <v>30981.795999999998</v>
      </c>
      <c r="D30" s="11"/>
      <c r="E30">
        <f>+(C30-C$7)/C$8</f>
        <v>-7066.9668203336996</v>
      </c>
      <c r="F30">
        <f>ROUND(2*E30,0)/2</f>
        <v>-7067</v>
      </c>
      <c r="G30">
        <f>+C30-(C$7+F30*C$8)</f>
        <v>0.10104299999511568</v>
      </c>
      <c r="I30">
        <f>G30</f>
        <v>0.10104299999511568</v>
      </c>
      <c r="O30">
        <f ca="1">+C$11+C$12*F30</f>
        <v>3.4601792597423707E-2</v>
      </c>
      <c r="Q30" s="2">
        <f>+C30-15018.5</f>
        <v>15963.295999999998</v>
      </c>
    </row>
    <row r="31" spans="1:17" x14ac:dyDescent="0.2">
      <c r="A31" s="51" t="s">
        <v>69</v>
      </c>
      <c r="B31" s="53" t="s">
        <v>50</v>
      </c>
      <c r="C31" s="52">
        <v>45227.756000000001</v>
      </c>
      <c r="D31" s="11"/>
      <c r="E31">
        <f>+(C31-C$7)/C$8</f>
        <v>-2388.9960657781153</v>
      </c>
      <c r="F31">
        <f>ROUND(2*E31,0)/2</f>
        <v>-2389</v>
      </c>
      <c r="G31">
        <f>+C31-(C$7+F31*C$8)</f>
        <v>1.1980999996012542E-2</v>
      </c>
      <c r="I31">
        <f>G31</f>
        <v>1.1980999996012542E-2</v>
      </c>
      <c r="O31">
        <f ca="1">+C$11+C$12*F31</f>
        <v>3.3518040111245716E-3</v>
      </c>
      <c r="Q31" s="2">
        <f>+C31-15018.5</f>
        <v>30209.256000000001</v>
      </c>
    </row>
    <row r="32" spans="1:17" x14ac:dyDescent="0.2">
      <c r="A32" s="51" t="s">
        <v>69</v>
      </c>
      <c r="B32" s="53" t="s">
        <v>50</v>
      </c>
      <c r="C32" s="52">
        <v>46488.523000000001</v>
      </c>
      <c r="D32" s="11"/>
      <c r="E32">
        <f>+(C32-C$7)/C$8</f>
        <v>-1974.9958050509492</v>
      </c>
      <c r="F32">
        <f>ROUND(2*E32,0)/2</f>
        <v>-1975</v>
      </c>
      <c r="G32">
        <f>+C32-(C$7+F32*C$8)</f>
        <v>1.2774999995599501E-2</v>
      </c>
      <c r="I32">
        <f>G32</f>
        <v>1.2774999995599501E-2</v>
      </c>
      <c r="O32">
        <f ca="1">+C$11+C$12*F32</f>
        <v>5.8620006184542488E-4</v>
      </c>
      <c r="Q32" s="2">
        <f>+C32-15018.5</f>
        <v>31470.023000000001</v>
      </c>
    </row>
    <row r="33" spans="1:32" x14ac:dyDescent="0.2">
      <c r="A33" s="51" t="s">
        <v>69</v>
      </c>
      <c r="B33" s="53" t="s">
        <v>50</v>
      </c>
      <c r="C33" s="52">
        <v>47383.841</v>
      </c>
      <c r="D33" s="11"/>
      <c r="E33">
        <f>+(C33-C$7)/C$8</f>
        <v>-1680.9986704228024</v>
      </c>
      <c r="F33">
        <f>ROUND(2*E33,0)/2</f>
        <v>-1681</v>
      </c>
      <c r="G33">
        <f>+C33-(C$7+F33*C$8)</f>
        <v>4.0489999955752864E-3</v>
      </c>
      <c r="I33">
        <f>G33</f>
        <v>4.0489999955752864E-3</v>
      </c>
      <c r="O33">
        <f ca="1">+C$11+C$12*F33</f>
        <v>-1.3777795543093302E-3</v>
      </c>
      <c r="Q33" s="2">
        <f>+C33-15018.5</f>
        <v>32365.341</v>
      </c>
    </row>
    <row r="34" spans="1:32" x14ac:dyDescent="0.2">
      <c r="A34" s="51" t="s">
        <v>69</v>
      </c>
      <c r="B34" s="53" t="s">
        <v>50</v>
      </c>
      <c r="C34" s="52">
        <v>47502.61</v>
      </c>
      <c r="D34" s="11"/>
      <c r="E34">
        <f>+(C34-C$7)/C$8</f>
        <v>-1641.9982865562317</v>
      </c>
      <c r="F34">
        <f>ROUND(2*E34,0)/2</f>
        <v>-1642</v>
      </c>
      <c r="G34">
        <f>+C34-(C$7+F34*C$8)</f>
        <v>5.2179999984218739E-3</v>
      </c>
      <c r="I34">
        <f>G34</f>
        <v>5.2179999984218739E-3</v>
      </c>
      <c r="O34">
        <f ca="1">+C$11+C$12*F34</f>
        <v>-1.6383074625747583E-3</v>
      </c>
      <c r="Q34" s="2">
        <f>+C34-15018.5</f>
        <v>32484.11</v>
      </c>
    </row>
    <row r="35" spans="1:32" x14ac:dyDescent="0.2">
      <c r="A35" s="51" t="s">
        <v>69</v>
      </c>
      <c r="B35" s="53" t="s">
        <v>50</v>
      </c>
      <c r="C35" s="52">
        <v>47505.663999999997</v>
      </c>
      <c r="D35" s="11"/>
      <c r="E35">
        <f>+(C35-C$7)/C$8</f>
        <v>-1640.9954392448258</v>
      </c>
      <c r="F35">
        <f>ROUND(2*E35,0)/2</f>
        <v>-1641</v>
      </c>
      <c r="G35">
        <f>+C35-(C$7+F35*C$8)</f>
        <v>1.3888999994378537E-2</v>
      </c>
      <c r="I35">
        <f>G35</f>
        <v>1.3888999994378537E-2</v>
      </c>
      <c r="O35">
        <f ca="1">+C$11+C$12*F35</f>
        <v>-1.6449876653507941E-3</v>
      </c>
      <c r="Q35" s="2">
        <f>+C35-15018.5</f>
        <v>32487.163999999997</v>
      </c>
    </row>
    <row r="36" spans="1:32" x14ac:dyDescent="0.2">
      <c r="A36" s="51" t="s">
        <v>69</v>
      </c>
      <c r="B36" s="53" t="s">
        <v>50</v>
      </c>
      <c r="C36" s="52">
        <v>47636.59</v>
      </c>
      <c r="D36" s="11"/>
      <c r="E36">
        <f>+(C36-C$7)/C$8</f>
        <v>-1598.003040065624</v>
      </c>
      <c r="F36">
        <f>ROUND(2*E36,0)/2</f>
        <v>-1598</v>
      </c>
      <c r="G36">
        <f>+C36-(C$7+F36*C$8)</f>
        <v>-9.2580000055022538E-3</v>
      </c>
      <c r="I36">
        <f>G36</f>
        <v>-9.2580000055022538E-3</v>
      </c>
      <c r="O36">
        <f ca="1">+C$11+C$12*F36</f>
        <v>-1.932236384720367E-3</v>
      </c>
      <c r="Q36" s="2">
        <f>+C36-15018.5</f>
        <v>32618.089999999997</v>
      </c>
    </row>
    <row r="37" spans="1:32" x14ac:dyDescent="0.2">
      <c r="A37" s="51" t="s">
        <v>69</v>
      </c>
      <c r="B37" s="53" t="s">
        <v>50</v>
      </c>
      <c r="C37" s="52">
        <v>47718.839</v>
      </c>
      <c r="D37" s="11"/>
      <c r="E37">
        <f>+(C37-C$7)/C$8</f>
        <v>-1570.9947923524858</v>
      </c>
      <c r="F37">
        <f>ROUND(2*E37,0)/2</f>
        <v>-1571</v>
      </c>
      <c r="G37">
        <f>+C37-(C$7+F37*C$8)</f>
        <v>1.5858999999181833E-2</v>
      </c>
      <c r="I37">
        <f>G37</f>
        <v>1.5858999999181833E-2</v>
      </c>
      <c r="O37">
        <f ca="1">+C$11+C$12*F37</f>
        <v>-2.1126018596733555E-3</v>
      </c>
      <c r="Q37" s="2">
        <f>+C37-15018.5</f>
        <v>32700.339</v>
      </c>
    </row>
    <row r="38" spans="1:32" x14ac:dyDescent="0.2">
      <c r="A38" t="s">
        <v>37</v>
      </c>
      <c r="C38" s="12">
        <v>48169.517399999997</v>
      </c>
      <c r="D38" s="12">
        <v>2.3999999999999998E-3</v>
      </c>
      <c r="E38">
        <f>+(C38-C$7)/C$8</f>
        <v>-1423.0047393894079</v>
      </c>
      <c r="F38">
        <f>ROUND(2*E38,0)/2</f>
        <v>-1423</v>
      </c>
      <c r="G38">
        <f>+C38-(C$7+F38*C$8)</f>
        <v>-1.4433000003919005E-2</v>
      </c>
      <c r="J38">
        <f>G38</f>
        <v>-1.4433000003919005E-2</v>
      </c>
      <c r="O38">
        <f ca="1">+C$11+C$12*F38</f>
        <v>-3.1012718705267697E-3</v>
      </c>
      <c r="Q38" s="2">
        <f>+C38-15018.5</f>
        <v>33151.017399999997</v>
      </c>
    </row>
    <row r="39" spans="1:32" x14ac:dyDescent="0.2">
      <c r="A39" s="51" t="s">
        <v>131</v>
      </c>
      <c r="B39" s="53" t="s">
        <v>50</v>
      </c>
      <c r="C39" s="52">
        <v>48562.35</v>
      </c>
      <c r="D39" s="11"/>
      <c r="E39">
        <f>+(C39-C$7)/C$8</f>
        <v>-1294.0096127544855</v>
      </c>
      <c r="F39">
        <f>ROUND(2*E39,0)/2</f>
        <v>-1294</v>
      </c>
      <c r="G39">
        <f>+C39-(C$7+F39*C$8)</f>
        <v>-2.9274000007717405E-2</v>
      </c>
      <c r="I39">
        <f>G39</f>
        <v>-2.9274000007717405E-2</v>
      </c>
      <c r="O39">
        <f ca="1">+C$11+C$12*F39</f>
        <v>-3.9630180286354885E-3</v>
      </c>
      <c r="Q39" s="2">
        <f>+C39-15018.5</f>
        <v>33543.85</v>
      </c>
    </row>
    <row r="40" spans="1:32" x14ac:dyDescent="0.2">
      <c r="A40" s="51" t="s">
        <v>131</v>
      </c>
      <c r="B40" s="53" t="s">
        <v>50</v>
      </c>
      <c r="C40" s="52">
        <v>48562.35</v>
      </c>
      <c r="D40" s="11"/>
      <c r="E40">
        <f>+(C40-C$7)/C$8</f>
        <v>-1294.0096127544855</v>
      </c>
      <c r="F40">
        <f>ROUND(2*E40,0)/2</f>
        <v>-1294</v>
      </c>
      <c r="G40">
        <f>+C40-(C$7+F40*C$8)</f>
        <v>-2.9274000007717405E-2</v>
      </c>
      <c r="I40">
        <f>G40</f>
        <v>-2.9274000007717405E-2</v>
      </c>
      <c r="O40">
        <f ca="1">+C$11+C$12*F40</f>
        <v>-3.9630180286354885E-3</v>
      </c>
      <c r="Q40" s="2">
        <f>+C40-15018.5</f>
        <v>33543.85</v>
      </c>
    </row>
    <row r="41" spans="1:32" x14ac:dyDescent="0.2">
      <c r="A41" t="s">
        <v>34</v>
      </c>
      <c r="C41" s="12">
        <v>49049.616999999998</v>
      </c>
      <c r="D41" s="12"/>
      <c r="E41">
        <f>+(C41-C$7)/C$8</f>
        <v>-1134.0048973362173</v>
      </c>
      <c r="F41">
        <f>ROUND(2*E41,0)/2</f>
        <v>-1134</v>
      </c>
      <c r="G41">
        <f>+C41-(C$7+F41*C$8)</f>
        <v>-1.4914000006683636E-2</v>
      </c>
      <c r="I41">
        <f>G41</f>
        <v>-1.4914000006683636E-2</v>
      </c>
      <c r="O41">
        <f ca="1">+C$11+C$12*F41</f>
        <v>-5.0318504728013424E-3</v>
      </c>
      <c r="Q41" s="2">
        <f>+C41-15018.5</f>
        <v>34031.116999999998</v>
      </c>
      <c r="R41" s="9" t="s">
        <v>35</v>
      </c>
    </row>
    <row r="42" spans="1:32" x14ac:dyDescent="0.2">
      <c r="A42" s="51" t="s">
        <v>137</v>
      </c>
      <c r="B42" s="53" t="s">
        <v>50</v>
      </c>
      <c r="C42" s="52">
        <v>49049.620999999999</v>
      </c>
      <c r="D42" s="11"/>
      <c r="E42">
        <f>+(C42-C$7)/C$8</f>
        <v>-1134.003583849234</v>
      </c>
      <c r="F42">
        <f>ROUND(2*E42,0)/2</f>
        <v>-1134</v>
      </c>
      <c r="G42">
        <f>+C42-(C$7+F42*C$8)</f>
        <v>-1.0914000005868729E-2</v>
      </c>
      <c r="I42">
        <f>G42</f>
        <v>-1.0914000005868729E-2</v>
      </c>
      <c r="O42">
        <f ca="1">+C$11+C$12*F42</f>
        <v>-5.0318504728013424E-3</v>
      </c>
      <c r="Q42" s="2">
        <f>+C42-15018.5</f>
        <v>34031.120999999999</v>
      </c>
    </row>
    <row r="43" spans="1:32" x14ac:dyDescent="0.2">
      <c r="A43" t="s">
        <v>36</v>
      </c>
      <c r="C43" s="12">
        <v>49640.4323</v>
      </c>
      <c r="D43" s="12">
        <v>1.4E-3</v>
      </c>
      <c r="E43">
        <f>+(C43-C$7)/C$8</f>
        <v>-939.99784588134912</v>
      </c>
      <c r="F43">
        <f>ROUND(2*E43,0)/2</f>
        <v>-940</v>
      </c>
      <c r="G43">
        <f>+C43-(C$7+F43*C$8)</f>
        <v>6.5599999943515286E-3</v>
      </c>
      <c r="J43">
        <f>G43</f>
        <v>6.5599999943515286E-3</v>
      </c>
      <c r="O43">
        <f ca="1">+C$11+C$12*F43</f>
        <v>-6.3278098113524403E-3</v>
      </c>
      <c r="Q43" s="2">
        <f>+C43-15018.5</f>
        <v>34621.9323</v>
      </c>
    </row>
    <row r="44" spans="1:32" x14ac:dyDescent="0.2">
      <c r="A44" t="s">
        <v>36</v>
      </c>
      <c r="C44" s="12">
        <v>49640.436000000002</v>
      </c>
      <c r="D44" s="12">
        <v>1E-3</v>
      </c>
      <c r="E44">
        <f>+(C44-C$7)/C$8</f>
        <v>-939.99663090588956</v>
      </c>
      <c r="F44">
        <f>ROUND(2*E44,0)/2</f>
        <v>-940</v>
      </c>
      <c r="G44">
        <f>+C44-(C$7+F44*C$8)</f>
        <v>1.0259999995469116E-2</v>
      </c>
      <c r="J44">
        <f>G44</f>
        <v>1.0259999995469116E-2</v>
      </c>
      <c r="O44">
        <f ca="1">+C$11+C$12*F44</f>
        <v>-6.3278098113524403E-3</v>
      </c>
      <c r="Q44" s="2">
        <f>+C44-15018.5</f>
        <v>34621.936000000002</v>
      </c>
    </row>
    <row r="45" spans="1:32" x14ac:dyDescent="0.2">
      <c r="A45" s="30" t="s">
        <v>30</v>
      </c>
      <c r="B45" s="30" t="s">
        <v>27</v>
      </c>
      <c r="C45" s="31">
        <v>49745.449000000001</v>
      </c>
      <c r="D45" s="31">
        <v>8.9999999999999993E-3</v>
      </c>
      <c r="E45">
        <f>+(C45-C$7)/C$8</f>
        <v>-905.51332877334528</v>
      </c>
      <c r="F45">
        <f>ROUND(2*E45,0)/2</f>
        <v>-905.5</v>
      </c>
      <c r="G45">
        <f>+C45-(C$7+F45*C$8)</f>
        <v>-4.0590500000689644E-2</v>
      </c>
      <c r="I45">
        <f>G45</f>
        <v>-4.0590500000689644E-2</v>
      </c>
      <c r="O45">
        <f ca="1">+C$11+C$12*F45</f>
        <v>-6.5582768071257022E-3</v>
      </c>
      <c r="Q45" s="2">
        <f>+C45-15018.5</f>
        <v>34726.949000000001</v>
      </c>
      <c r="AA45">
        <v>16</v>
      </c>
      <c r="AC45" t="s">
        <v>28</v>
      </c>
      <c r="AD45" t="s">
        <v>29</v>
      </c>
      <c r="AF45" t="s">
        <v>31</v>
      </c>
    </row>
    <row r="46" spans="1:32" x14ac:dyDescent="0.2">
      <c r="A46" s="30" t="s">
        <v>33</v>
      </c>
      <c r="B46" s="30"/>
      <c r="C46" s="31">
        <v>50103.300999999999</v>
      </c>
      <c r="D46" s="31">
        <v>0.01</v>
      </c>
      <c r="E46">
        <f>+(C46-C$7)/C$8</f>
        <v>-788.004842826507</v>
      </c>
      <c r="F46">
        <f>ROUND(2*E46,0)/2</f>
        <v>-788</v>
      </c>
      <c r="G46">
        <f>+C46-(C$7+F46*C$8)</f>
        <v>-1.4748000001418404E-2</v>
      </c>
      <c r="I46">
        <f>G46</f>
        <v>-1.4748000001418404E-2</v>
      </c>
      <c r="O46">
        <f ca="1">+C$11+C$12*F46</f>
        <v>-7.343200633310001E-3</v>
      </c>
      <c r="Q46" s="2">
        <f>+C46-15018.5</f>
        <v>35084.800999999999</v>
      </c>
      <c r="AA46">
        <v>9</v>
      </c>
      <c r="AC46" t="s">
        <v>32</v>
      </c>
      <c r="AF46" t="s">
        <v>31</v>
      </c>
    </row>
    <row r="47" spans="1:32" x14ac:dyDescent="0.2">
      <c r="A47" s="32" t="s">
        <v>38</v>
      </c>
      <c r="B47" s="33"/>
      <c r="C47" s="32">
        <v>51799.560400000002</v>
      </c>
      <c r="D47" s="32">
        <v>8.9999999999999998E-4</v>
      </c>
      <c r="E47">
        <f>+(C47-C$7)/C$8</f>
        <v>-231.00118246665676</v>
      </c>
      <c r="F47">
        <f>ROUND(2*E47,0)/2</f>
        <v>-231</v>
      </c>
      <c r="G47">
        <f>+C47-(C$7+F47*C$8)</f>
        <v>-3.6010000039823353E-3</v>
      </c>
      <c r="K47">
        <f>G47</f>
        <v>-3.6010000039823353E-3</v>
      </c>
      <c r="O47">
        <f ca="1">+C$11+C$12*F47</f>
        <v>-1.1064073579562378E-2</v>
      </c>
      <c r="Q47" s="2">
        <f>+C47-15018.5</f>
        <v>36781.060400000002</v>
      </c>
    </row>
    <row r="48" spans="1:32" x14ac:dyDescent="0.2">
      <c r="A48" t="str">
        <f>$D$7</f>
        <v>VSX</v>
      </c>
      <c r="B48" s="15"/>
      <c r="C48" s="11">
        <f>$C$7</f>
        <v>52503.035000000003</v>
      </c>
      <c r="D48" s="11"/>
      <c r="E48">
        <f>+(C48-C$7)/C$8</f>
        <v>0</v>
      </c>
      <c r="F48">
        <f>ROUND(2*E48,0)/2</f>
        <v>0</v>
      </c>
      <c r="G48">
        <f>+C48-(C$7+F48*C$8)</f>
        <v>0</v>
      </c>
      <c r="H48">
        <f>G48</f>
        <v>0</v>
      </c>
      <c r="O48">
        <f ca="1">+C$11+C$12*F48</f>
        <v>-1.2607200420826829E-2</v>
      </c>
      <c r="Q48" s="2">
        <f>+C48-15018.5</f>
        <v>37484.535000000003</v>
      </c>
    </row>
    <row r="49" spans="1:17" x14ac:dyDescent="0.2">
      <c r="A49" s="32" t="s">
        <v>49</v>
      </c>
      <c r="B49" s="34" t="s">
        <v>50</v>
      </c>
      <c r="C49" s="32">
        <v>55831.582249999999</v>
      </c>
      <c r="D49" s="32">
        <v>7.2999999999999996E-4</v>
      </c>
      <c r="E49">
        <f>+(C49-C$7)/C$8</f>
        <v>1093.0008711702401</v>
      </c>
      <c r="F49">
        <f>ROUND(2*E49,0)/2</f>
        <v>1093</v>
      </c>
      <c r="G49">
        <f>+C49-(C$7+F49*C$8)</f>
        <v>2.6529999959166162E-3</v>
      </c>
      <c r="K49">
        <f>G49</f>
        <v>2.6529999959166162E-3</v>
      </c>
      <c r="O49">
        <f ca="1">+C$11+C$12*F49</f>
        <v>-1.9908662055034814E-2</v>
      </c>
      <c r="Q49" s="2">
        <f>+C49-15018.5</f>
        <v>40813.082249999999</v>
      </c>
    </row>
    <row r="50" spans="1:17" x14ac:dyDescent="0.2">
      <c r="A50" s="35" t="s">
        <v>52</v>
      </c>
      <c r="B50" s="36" t="s">
        <v>50</v>
      </c>
      <c r="C50" s="37">
        <v>56218.32273</v>
      </c>
      <c r="D50" s="37">
        <v>1E-4</v>
      </c>
      <c r="E50">
        <f>+(C50-C$7)/C$8</f>
        <v>1219.9955177256697</v>
      </c>
      <c r="F50">
        <f>ROUND(2*E50,0)/2</f>
        <v>1220</v>
      </c>
      <c r="G50">
        <f>+C50-(C$7+F50*C$8)</f>
        <v>-1.3650000000779983E-2</v>
      </c>
      <c r="K50">
        <f>G50</f>
        <v>-1.3650000000779983E-2</v>
      </c>
      <c r="O50">
        <f ca="1">+C$11+C$12*F50</f>
        <v>-2.075704780759146E-2</v>
      </c>
      <c r="Q50" s="2">
        <f>+C50-15018.5</f>
        <v>41199.82273</v>
      </c>
    </row>
    <row r="51" spans="1:17" x14ac:dyDescent="0.2">
      <c r="A51" s="35" t="s">
        <v>52</v>
      </c>
      <c r="B51" s="36" t="s">
        <v>50</v>
      </c>
      <c r="C51" s="37">
        <v>56352.299659999997</v>
      </c>
      <c r="D51" s="37">
        <v>4.0000000000000002E-4</v>
      </c>
      <c r="E51">
        <f>+(C51-C$7)/C$8</f>
        <v>1263.9897561150185</v>
      </c>
      <c r="F51">
        <f>ROUND(2*E51,0)/2</f>
        <v>1264</v>
      </c>
      <c r="G51">
        <f>+C51-(C$7+F51*C$8)</f>
        <v>-3.1196000003546942E-2</v>
      </c>
      <c r="K51">
        <f>G51</f>
        <v>-3.1196000003546942E-2</v>
      </c>
      <c r="O51">
        <f ca="1">+C$11+C$12*F51</f>
        <v>-2.1050976729737072E-2</v>
      </c>
      <c r="Q51" s="2">
        <f>+C51-15018.5</f>
        <v>41333.799659999997</v>
      </c>
    </row>
    <row r="52" spans="1:17" x14ac:dyDescent="0.2">
      <c r="A52" s="54" t="s">
        <v>173</v>
      </c>
      <c r="B52" s="55" t="s">
        <v>50</v>
      </c>
      <c r="C52" s="57">
        <v>59175.314400000003</v>
      </c>
      <c r="D52" s="58">
        <v>3.2000000000000002E-3</v>
      </c>
      <c r="E52">
        <f>+(C52-C$7)/C$8</f>
        <v>2190.9880344619578</v>
      </c>
      <c r="F52">
        <f>ROUND(2*E52,0)/2</f>
        <v>2191</v>
      </c>
      <c r="G52">
        <f>+C52-(C$7+F52*C$8)</f>
        <v>-3.6439000003156252E-2</v>
      </c>
      <c r="K52">
        <f>G52</f>
        <v>-3.6439000003156252E-2</v>
      </c>
      <c r="O52">
        <f ca="1">+C$11+C$12*F52</f>
        <v>-2.7243524703122985E-2</v>
      </c>
      <c r="Q52" s="2">
        <f>+C52-15018.5</f>
        <v>44156.814400000003</v>
      </c>
    </row>
    <row r="53" spans="1:17" x14ac:dyDescent="0.2">
      <c r="B53" s="15"/>
      <c r="C53" s="11"/>
      <c r="D53" s="11"/>
    </row>
    <row r="54" spans="1:17" x14ac:dyDescent="0.2">
      <c r="B54" s="15"/>
      <c r="C54" s="11"/>
      <c r="D54" s="11"/>
    </row>
    <row r="55" spans="1:17" x14ac:dyDescent="0.2">
      <c r="B55" s="15"/>
      <c r="C55" s="11"/>
      <c r="D55" s="11"/>
    </row>
    <row r="56" spans="1:17" x14ac:dyDescent="0.2">
      <c r="B56" s="15"/>
      <c r="C56" s="11"/>
      <c r="D56" s="11"/>
    </row>
    <row r="57" spans="1:17" x14ac:dyDescent="0.2">
      <c r="B57" s="15"/>
      <c r="C57" s="11"/>
      <c r="D57" s="11"/>
    </row>
    <row r="58" spans="1:17" x14ac:dyDescent="0.2">
      <c r="B58" s="15"/>
      <c r="C58" s="11"/>
      <c r="D58" s="11"/>
    </row>
    <row r="59" spans="1:17" x14ac:dyDescent="0.2">
      <c r="B59" s="15"/>
      <c r="C59" s="11"/>
      <c r="D59" s="11"/>
    </row>
    <row r="60" spans="1:17" x14ac:dyDescent="0.2">
      <c r="B60" s="15"/>
      <c r="C60" s="11"/>
      <c r="D60" s="11"/>
    </row>
    <row r="61" spans="1:17" x14ac:dyDescent="0.2">
      <c r="B61" s="15"/>
      <c r="C61" s="11"/>
      <c r="D61" s="11"/>
    </row>
    <row r="62" spans="1:17" x14ac:dyDescent="0.2">
      <c r="C62" s="11"/>
      <c r="D62" s="11"/>
    </row>
    <row r="63" spans="1:17" x14ac:dyDescent="0.2">
      <c r="C63" s="11"/>
      <c r="D63" s="11"/>
    </row>
    <row r="64" spans="1:17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</sheetData>
  <sortState xmlns:xlrd2="http://schemas.microsoft.com/office/spreadsheetml/2017/richdata2" ref="A21:S53">
    <sortCondition ref="C21:C53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9"/>
  <sheetViews>
    <sheetView workbookViewId="0">
      <selection activeCell="A20" sqref="A20:C39"/>
    </sheetView>
  </sheetViews>
  <sheetFormatPr defaultRowHeight="12.75" x14ac:dyDescent="0.2"/>
  <cols>
    <col min="1" max="1" width="19.7109375" style="11" customWidth="1"/>
    <col min="2" max="2" width="4.42578125" style="9" customWidth="1"/>
    <col min="3" max="3" width="12.7109375" style="11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1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8" t="s">
        <v>53</v>
      </c>
      <c r="I1" s="39" t="s">
        <v>54</v>
      </c>
      <c r="J1" s="40" t="s">
        <v>55</v>
      </c>
    </row>
    <row r="2" spans="1:16" x14ac:dyDescent="0.2">
      <c r="I2" s="41" t="s">
        <v>56</v>
      </c>
      <c r="J2" s="42" t="s">
        <v>57</v>
      </c>
    </row>
    <row r="3" spans="1:16" x14ac:dyDescent="0.2">
      <c r="A3" s="43" t="s">
        <v>58</v>
      </c>
      <c r="I3" s="41" t="s">
        <v>59</v>
      </c>
      <c r="J3" s="42" t="s">
        <v>60</v>
      </c>
    </row>
    <row r="4" spans="1:16" x14ac:dyDescent="0.2">
      <c r="I4" s="41" t="s">
        <v>61</v>
      </c>
      <c r="J4" s="42" t="s">
        <v>60</v>
      </c>
    </row>
    <row r="5" spans="1:16" ht="13.5" thickBot="1" x14ac:dyDescent="0.25">
      <c r="I5" s="44" t="s">
        <v>62</v>
      </c>
      <c r="J5" s="45" t="s">
        <v>63</v>
      </c>
    </row>
    <row r="10" spans="1:16" ht="13.5" thickBot="1" x14ac:dyDescent="0.25"/>
    <row r="11" spans="1:16" ht="12.75" customHeight="1" thickBot="1" x14ac:dyDescent="0.25">
      <c r="A11" s="11" t="str">
        <f t="shared" ref="A11:A39" si="0">P11</f>
        <v>IBVS 4327 </v>
      </c>
      <c r="B11" s="15" t="str">
        <f t="shared" ref="B11:B39" si="1">IF(H11=INT(H11),"I","II")</f>
        <v>I</v>
      </c>
      <c r="C11" s="11">
        <f t="shared" ref="C11:C39" si="2">1*G11</f>
        <v>48169.517399999997</v>
      </c>
      <c r="D11" s="9" t="str">
        <f t="shared" ref="D11:D39" si="3">VLOOKUP(F11,I$1:J$5,2,FALSE)</f>
        <v>vis</v>
      </c>
      <c r="E11" s="46">
        <f>VLOOKUP(C11,Active!C$21:E$973,3,FALSE)</f>
        <v>-1423.0047393894079</v>
      </c>
      <c r="F11" s="15" t="s">
        <v>62</v>
      </c>
      <c r="G11" s="9" t="str">
        <f t="shared" ref="G11:G39" si="4">MID(I11,3,LEN(I11)-3)</f>
        <v>48169.5174</v>
      </c>
      <c r="H11" s="11">
        <f t="shared" ref="H11:H39" si="5">1*K11</f>
        <v>-1423</v>
      </c>
      <c r="I11" s="47" t="s">
        <v>119</v>
      </c>
      <c r="J11" s="48" t="s">
        <v>120</v>
      </c>
      <c r="K11" s="47">
        <v>-1423</v>
      </c>
      <c r="L11" s="47" t="s">
        <v>121</v>
      </c>
      <c r="M11" s="48" t="s">
        <v>122</v>
      </c>
      <c r="N11" s="48" t="s">
        <v>123</v>
      </c>
      <c r="O11" s="49" t="s">
        <v>124</v>
      </c>
      <c r="P11" s="50" t="s">
        <v>125</v>
      </c>
    </row>
    <row r="12" spans="1:16" ht="12.75" customHeight="1" thickBot="1" x14ac:dyDescent="0.25">
      <c r="A12" s="11" t="str">
        <f t="shared" si="0"/>
        <v>BAVM 80 </v>
      </c>
      <c r="B12" s="15" t="str">
        <f t="shared" si="1"/>
        <v>I</v>
      </c>
      <c r="C12" s="11">
        <f t="shared" si="2"/>
        <v>49640.4323</v>
      </c>
      <c r="D12" s="9" t="str">
        <f t="shared" si="3"/>
        <v>vis</v>
      </c>
      <c r="E12" s="46">
        <f>VLOOKUP(C12,Active!C$21:E$973,3,FALSE)</f>
        <v>-939.99784588134912</v>
      </c>
      <c r="F12" s="15" t="s">
        <v>62</v>
      </c>
      <c r="G12" s="9" t="str">
        <f t="shared" si="4"/>
        <v>49640.4323</v>
      </c>
      <c r="H12" s="11">
        <f t="shared" si="5"/>
        <v>-940</v>
      </c>
      <c r="I12" s="47" t="s">
        <v>138</v>
      </c>
      <c r="J12" s="48" t="s">
        <v>139</v>
      </c>
      <c r="K12" s="47">
        <v>-940</v>
      </c>
      <c r="L12" s="47" t="s">
        <v>140</v>
      </c>
      <c r="M12" s="48" t="s">
        <v>122</v>
      </c>
      <c r="N12" s="48" t="s">
        <v>31</v>
      </c>
      <c r="O12" s="49" t="s">
        <v>130</v>
      </c>
      <c r="P12" s="50" t="s">
        <v>141</v>
      </c>
    </row>
    <row r="13" spans="1:16" ht="12.75" customHeight="1" thickBot="1" x14ac:dyDescent="0.25">
      <c r="A13" s="11" t="str">
        <f t="shared" si="0"/>
        <v>BAVM 80 </v>
      </c>
      <c r="B13" s="15" t="str">
        <f t="shared" si="1"/>
        <v>I</v>
      </c>
      <c r="C13" s="11">
        <f t="shared" si="2"/>
        <v>49640.436000000002</v>
      </c>
      <c r="D13" s="9" t="str">
        <f t="shared" si="3"/>
        <v>vis</v>
      </c>
      <c r="E13" s="46">
        <f>VLOOKUP(C13,Active!C$21:E$973,3,FALSE)</f>
        <v>-939.99663090588956</v>
      </c>
      <c r="F13" s="15" t="s">
        <v>62</v>
      </c>
      <c r="G13" s="9" t="str">
        <f t="shared" si="4"/>
        <v>49640.4360</v>
      </c>
      <c r="H13" s="11">
        <f t="shared" si="5"/>
        <v>-940</v>
      </c>
      <c r="I13" s="47" t="s">
        <v>142</v>
      </c>
      <c r="J13" s="48" t="s">
        <v>143</v>
      </c>
      <c r="K13" s="47">
        <v>-940</v>
      </c>
      <c r="L13" s="47" t="s">
        <v>144</v>
      </c>
      <c r="M13" s="48" t="s">
        <v>122</v>
      </c>
      <c r="N13" s="48" t="s">
        <v>129</v>
      </c>
      <c r="O13" s="49" t="s">
        <v>130</v>
      </c>
      <c r="P13" s="50" t="s">
        <v>141</v>
      </c>
    </row>
    <row r="14" spans="1:16" ht="12.75" customHeight="1" thickBot="1" x14ac:dyDescent="0.25">
      <c r="A14" s="11" t="str">
        <f t="shared" si="0"/>
        <v> BBS 109 </v>
      </c>
      <c r="B14" s="15" t="str">
        <f t="shared" si="1"/>
        <v>II</v>
      </c>
      <c r="C14" s="11">
        <f t="shared" si="2"/>
        <v>49745.449000000001</v>
      </c>
      <c r="D14" s="9" t="str">
        <f t="shared" si="3"/>
        <v>vis</v>
      </c>
      <c r="E14" s="46">
        <f>VLOOKUP(C14,Active!C$21:E$973,3,FALSE)</f>
        <v>-905.51332877334528</v>
      </c>
      <c r="F14" s="15" t="s">
        <v>62</v>
      </c>
      <c r="G14" s="9" t="str">
        <f t="shared" si="4"/>
        <v>49745.449</v>
      </c>
      <c r="H14" s="11">
        <f t="shared" si="5"/>
        <v>-905.5</v>
      </c>
      <c r="I14" s="47" t="s">
        <v>145</v>
      </c>
      <c r="J14" s="48" t="s">
        <v>146</v>
      </c>
      <c r="K14" s="47">
        <v>-905.5</v>
      </c>
      <c r="L14" s="47" t="s">
        <v>147</v>
      </c>
      <c r="M14" s="48" t="s">
        <v>114</v>
      </c>
      <c r="N14" s="48"/>
      <c r="O14" s="49" t="s">
        <v>148</v>
      </c>
      <c r="P14" s="49" t="s">
        <v>149</v>
      </c>
    </row>
    <row r="15" spans="1:16" ht="12.75" customHeight="1" thickBot="1" x14ac:dyDescent="0.25">
      <c r="A15" s="11" t="str">
        <f t="shared" si="0"/>
        <v> BBS 111 </v>
      </c>
      <c r="B15" s="15" t="str">
        <f t="shared" si="1"/>
        <v>I</v>
      </c>
      <c r="C15" s="11">
        <f t="shared" si="2"/>
        <v>50103.300999999999</v>
      </c>
      <c r="D15" s="9" t="str">
        <f t="shared" si="3"/>
        <v>vis</v>
      </c>
      <c r="E15" s="46">
        <f>VLOOKUP(C15,Active!C$21:E$973,3,FALSE)</f>
        <v>-788.004842826507</v>
      </c>
      <c r="F15" s="15" t="s">
        <v>62</v>
      </c>
      <c r="G15" s="9" t="str">
        <f t="shared" si="4"/>
        <v>50103.301</v>
      </c>
      <c r="H15" s="11">
        <f t="shared" si="5"/>
        <v>-788</v>
      </c>
      <c r="I15" s="47" t="s">
        <v>150</v>
      </c>
      <c r="J15" s="48" t="s">
        <v>151</v>
      </c>
      <c r="K15" s="47">
        <v>-788</v>
      </c>
      <c r="L15" s="47" t="s">
        <v>152</v>
      </c>
      <c r="M15" s="48" t="s">
        <v>114</v>
      </c>
      <c r="N15" s="48"/>
      <c r="O15" s="49" t="s">
        <v>153</v>
      </c>
      <c r="P15" s="49" t="s">
        <v>154</v>
      </c>
    </row>
    <row r="16" spans="1:16" ht="12.75" customHeight="1" thickBot="1" x14ac:dyDescent="0.25">
      <c r="A16" s="11" t="str">
        <f t="shared" si="0"/>
        <v>BAVM 152 </v>
      </c>
      <c r="B16" s="15" t="str">
        <f t="shared" si="1"/>
        <v>I</v>
      </c>
      <c r="C16" s="11">
        <f t="shared" si="2"/>
        <v>51799.560400000002</v>
      </c>
      <c r="D16" s="9" t="str">
        <f t="shared" si="3"/>
        <v>vis</v>
      </c>
      <c r="E16" s="46">
        <f>VLOOKUP(C16,Active!C$21:E$973,3,FALSE)</f>
        <v>-231.00118246665676</v>
      </c>
      <c r="F16" s="15" t="s">
        <v>62</v>
      </c>
      <c r="G16" s="9" t="str">
        <f t="shared" si="4"/>
        <v>51799.5604</v>
      </c>
      <c r="H16" s="11">
        <f t="shared" si="5"/>
        <v>-231</v>
      </c>
      <c r="I16" s="47" t="s">
        <v>155</v>
      </c>
      <c r="J16" s="48" t="s">
        <v>156</v>
      </c>
      <c r="K16" s="47">
        <v>-231</v>
      </c>
      <c r="L16" s="47" t="s">
        <v>157</v>
      </c>
      <c r="M16" s="48" t="s">
        <v>122</v>
      </c>
      <c r="N16" s="48" t="s">
        <v>62</v>
      </c>
      <c r="O16" s="49" t="s">
        <v>130</v>
      </c>
      <c r="P16" s="50" t="s">
        <v>158</v>
      </c>
    </row>
    <row r="17" spans="1:16" ht="12.75" customHeight="1" thickBot="1" x14ac:dyDescent="0.25">
      <c r="A17" s="11" t="str">
        <f t="shared" si="0"/>
        <v>IBVS 6007 </v>
      </c>
      <c r="B17" s="15" t="str">
        <f t="shared" si="1"/>
        <v>I</v>
      </c>
      <c r="C17" s="11">
        <f t="shared" si="2"/>
        <v>55831.582249999999</v>
      </c>
      <c r="D17" s="9" t="str">
        <f t="shared" si="3"/>
        <v>vis</v>
      </c>
      <c r="E17" s="46">
        <f>VLOOKUP(C17,Active!C$21:E$973,3,FALSE)</f>
        <v>1093.0008711702401</v>
      </c>
      <c r="F17" s="15" t="s">
        <v>62</v>
      </c>
      <c r="G17" s="9" t="str">
        <f t="shared" si="4"/>
        <v>55831.58225</v>
      </c>
      <c r="H17" s="11">
        <f t="shared" si="5"/>
        <v>1093</v>
      </c>
      <c r="I17" s="47" t="s">
        <v>159</v>
      </c>
      <c r="J17" s="48" t="s">
        <v>160</v>
      </c>
      <c r="K17" s="47">
        <v>1093</v>
      </c>
      <c r="L17" s="47" t="s">
        <v>161</v>
      </c>
      <c r="M17" s="48" t="s">
        <v>162</v>
      </c>
      <c r="N17" s="48" t="s">
        <v>54</v>
      </c>
      <c r="O17" s="49" t="s">
        <v>163</v>
      </c>
      <c r="P17" s="50" t="s">
        <v>164</v>
      </c>
    </row>
    <row r="18" spans="1:16" ht="12.75" customHeight="1" thickBot="1" x14ac:dyDescent="0.25">
      <c r="A18" s="11" t="str">
        <f t="shared" si="0"/>
        <v>OEJV 0160 </v>
      </c>
      <c r="B18" s="15" t="str">
        <f t="shared" si="1"/>
        <v>I</v>
      </c>
      <c r="C18" s="11">
        <f t="shared" si="2"/>
        <v>56218.32273</v>
      </c>
      <c r="D18" s="9" t="str">
        <f t="shared" si="3"/>
        <v>vis</v>
      </c>
      <c r="E18" s="46">
        <f>VLOOKUP(C18,Active!C$21:E$973,3,FALSE)</f>
        <v>1219.9955177256697</v>
      </c>
      <c r="F18" s="15" t="s">
        <v>62</v>
      </c>
      <c r="G18" s="9" t="str">
        <f t="shared" si="4"/>
        <v>56218.32273</v>
      </c>
      <c r="H18" s="11">
        <f t="shared" si="5"/>
        <v>1220</v>
      </c>
      <c r="I18" s="47" t="s">
        <v>165</v>
      </c>
      <c r="J18" s="48" t="s">
        <v>166</v>
      </c>
      <c r="K18" s="47">
        <v>1220</v>
      </c>
      <c r="L18" s="47" t="s">
        <v>167</v>
      </c>
      <c r="M18" s="48" t="s">
        <v>162</v>
      </c>
      <c r="N18" s="48" t="s">
        <v>54</v>
      </c>
      <c r="O18" s="49" t="s">
        <v>168</v>
      </c>
      <c r="P18" s="50" t="s">
        <v>169</v>
      </c>
    </row>
    <row r="19" spans="1:16" ht="12.75" customHeight="1" thickBot="1" x14ac:dyDescent="0.25">
      <c r="A19" s="11" t="str">
        <f t="shared" si="0"/>
        <v>OEJV 0160 </v>
      </c>
      <c r="B19" s="15" t="str">
        <f t="shared" si="1"/>
        <v>I</v>
      </c>
      <c r="C19" s="11">
        <f t="shared" si="2"/>
        <v>56352.299659999997</v>
      </c>
      <c r="D19" s="9" t="str">
        <f t="shared" si="3"/>
        <v>vis</v>
      </c>
      <c r="E19" s="46">
        <f>VLOOKUP(C19,Active!C$21:E$973,3,FALSE)</f>
        <v>1263.9897561150185</v>
      </c>
      <c r="F19" s="15" t="s">
        <v>62</v>
      </c>
      <c r="G19" s="9" t="str">
        <f t="shared" si="4"/>
        <v>56352.29966</v>
      </c>
      <c r="H19" s="11">
        <f t="shared" si="5"/>
        <v>1264</v>
      </c>
      <c r="I19" s="47" t="s">
        <v>170</v>
      </c>
      <c r="J19" s="48" t="s">
        <v>171</v>
      </c>
      <c r="K19" s="47">
        <v>1264</v>
      </c>
      <c r="L19" s="47" t="s">
        <v>172</v>
      </c>
      <c r="M19" s="48" t="s">
        <v>162</v>
      </c>
      <c r="N19" s="48" t="s">
        <v>54</v>
      </c>
      <c r="O19" s="49" t="s">
        <v>168</v>
      </c>
      <c r="P19" s="50" t="s">
        <v>169</v>
      </c>
    </row>
    <row r="20" spans="1:16" ht="12.75" customHeight="1" thickBot="1" x14ac:dyDescent="0.25">
      <c r="A20" s="11" t="str">
        <f t="shared" si="0"/>
        <v>IBVS 3442 </v>
      </c>
      <c r="B20" s="15" t="str">
        <f t="shared" si="1"/>
        <v>I</v>
      </c>
      <c r="C20" s="11">
        <f t="shared" si="2"/>
        <v>23088.477999999999</v>
      </c>
      <c r="D20" s="9" t="str">
        <f t="shared" si="3"/>
        <v>vis</v>
      </c>
      <c r="E20" s="46">
        <f>VLOOKUP(C20,Active!C$21:E$973,3,FALSE)</f>
        <v>-9658.9094314604445</v>
      </c>
      <c r="F20" s="15" t="s">
        <v>62</v>
      </c>
      <c r="G20" s="9" t="str">
        <f t="shared" si="4"/>
        <v>23088.478</v>
      </c>
      <c r="H20" s="11">
        <f t="shared" si="5"/>
        <v>-9659</v>
      </c>
      <c r="I20" s="47" t="s">
        <v>64</v>
      </c>
      <c r="J20" s="48" t="s">
        <v>65</v>
      </c>
      <c r="K20" s="47">
        <v>-9659</v>
      </c>
      <c r="L20" s="47" t="s">
        <v>66</v>
      </c>
      <c r="M20" s="48" t="s">
        <v>67</v>
      </c>
      <c r="N20" s="48"/>
      <c r="O20" s="49" t="s">
        <v>68</v>
      </c>
      <c r="P20" s="50" t="s">
        <v>69</v>
      </c>
    </row>
    <row r="21" spans="1:16" ht="12.75" customHeight="1" thickBot="1" x14ac:dyDescent="0.25">
      <c r="A21" s="11" t="str">
        <f t="shared" si="0"/>
        <v>IBVS 3442 </v>
      </c>
      <c r="B21" s="15" t="str">
        <f t="shared" si="1"/>
        <v>I</v>
      </c>
      <c r="C21" s="11">
        <f t="shared" si="2"/>
        <v>26051.518</v>
      </c>
      <c r="D21" s="9" t="str">
        <f t="shared" si="3"/>
        <v>vis</v>
      </c>
      <c r="E21" s="46">
        <f>VLOOKUP(C21,Active!C$21:E$973,3,FALSE)</f>
        <v>-8685.9308140434096</v>
      </c>
      <c r="F21" s="15" t="s">
        <v>62</v>
      </c>
      <c r="G21" s="9" t="str">
        <f t="shared" si="4"/>
        <v>26051.518</v>
      </c>
      <c r="H21" s="11">
        <f t="shared" si="5"/>
        <v>-8686</v>
      </c>
      <c r="I21" s="47" t="s">
        <v>70</v>
      </c>
      <c r="J21" s="48" t="s">
        <v>71</v>
      </c>
      <c r="K21" s="47">
        <v>-8686</v>
      </c>
      <c r="L21" s="47" t="s">
        <v>72</v>
      </c>
      <c r="M21" s="48" t="s">
        <v>67</v>
      </c>
      <c r="N21" s="48"/>
      <c r="O21" s="49" t="s">
        <v>68</v>
      </c>
      <c r="P21" s="50" t="s">
        <v>69</v>
      </c>
    </row>
    <row r="22" spans="1:16" ht="12.75" customHeight="1" thickBot="1" x14ac:dyDescent="0.25">
      <c r="A22" s="11" t="str">
        <f t="shared" si="0"/>
        <v>IBVS 3442 </v>
      </c>
      <c r="B22" s="15" t="str">
        <f t="shared" si="1"/>
        <v>I</v>
      </c>
      <c r="C22" s="11">
        <f t="shared" si="2"/>
        <v>27680.841</v>
      </c>
      <c r="D22" s="9" t="str">
        <f t="shared" si="3"/>
        <v>vis</v>
      </c>
      <c r="E22" s="46">
        <f>VLOOKUP(C22,Active!C$21:E$973,3,FALSE)</f>
        <v>-8150.9071762032945</v>
      </c>
      <c r="F22" s="15" t="s">
        <v>62</v>
      </c>
      <c r="G22" s="9" t="str">
        <f t="shared" si="4"/>
        <v>27680.841</v>
      </c>
      <c r="H22" s="11">
        <f t="shared" si="5"/>
        <v>-8151</v>
      </c>
      <c r="I22" s="47" t="s">
        <v>73</v>
      </c>
      <c r="J22" s="48" t="s">
        <v>74</v>
      </c>
      <c r="K22" s="47">
        <v>-8151</v>
      </c>
      <c r="L22" s="47" t="s">
        <v>75</v>
      </c>
      <c r="M22" s="48" t="s">
        <v>67</v>
      </c>
      <c r="N22" s="48"/>
      <c r="O22" s="49" t="s">
        <v>68</v>
      </c>
      <c r="P22" s="50" t="s">
        <v>69</v>
      </c>
    </row>
    <row r="23" spans="1:16" ht="12.75" customHeight="1" thickBot="1" x14ac:dyDescent="0.25">
      <c r="A23" s="11" t="str">
        <f t="shared" si="0"/>
        <v>IBVS 3442 </v>
      </c>
      <c r="B23" s="15" t="str">
        <f t="shared" si="1"/>
        <v>I</v>
      </c>
      <c r="C23" s="11">
        <f t="shared" si="2"/>
        <v>27799.517</v>
      </c>
      <c r="D23" s="9" t="str">
        <f t="shared" si="3"/>
        <v>vis</v>
      </c>
      <c r="E23" s="46">
        <f>VLOOKUP(C23,Active!C$21:E$973,3,FALSE)</f>
        <v>-8111.9373309090752</v>
      </c>
      <c r="F23" s="15" t="s">
        <v>62</v>
      </c>
      <c r="G23" s="9" t="str">
        <f t="shared" si="4"/>
        <v>27799.517</v>
      </c>
      <c r="H23" s="11">
        <f t="shared" si="5"/>
        <v>-8112</v>
      </c>
      <c r="I23" s="47" t="s">
        <v>76</v>
      </c>
      <c r="J23" s="48" t="s">
        <v>77</v>
      </c>
      <c r="K23" s="47">
        <v>-8112</v>
      </c>
      <c r="L23" s="47" t="s">
        <v>78</v>
      </c>
      <c r="M23" s="48" t="s">
        <v>67</v>
      </c>
      <c r="N23" s="48"/>
      <c r="O23" s="49" t="s">
        <v>68</v>
      </c>
      <c r="P23" s="50" t="s">
        <v>69</v>
      </c>
    </row>
    <row r="24" spans="1:16" ht="12.75" customHeight="1" thickBot="1" x14ac:dyDescent="0.25">
      <c r="A24" s="11" t="str">
        <f t="shared" si="0"/>
        <v>IBVS 3442 </v>
      </c>
      <c r="B24" s="15" t="str">
        <f t="shared" si="1"/>
        <v>I</v>
      </c>
      <c r="C24" s="11">
        <f t="shared" si="2"/>
        <v>28478.655999999999</v>
      </c>
      <c r="D24" s="9" t="str">
        <f t="shared" si="3"/>
        <v>vis</v>
      </c>
      <c r="E24" s="46">
        <f>VLOOKUP(C24,Active!C$21:E$973,3,FALSE)</f>
        <v>-7888.9272718973889</v>
      </c>
      <c r="F24" s="15" t="s">
        <v>62</v>
      </c>
      <c r="G24" s="9" t="str">
        <f t="shared" si="4"/>
        <v>28478.656</v>
      </c>
      <c r="H24" s="11">
        <f t="shared" si="5"/>
        <v>-7889</v>
      </c>
      <c r="I24" s="47" t="s">
        <v>79</v>
      </c>
      <c r="J24" s="48" t="s">
        <v>80</v>
      </c>
      <c r="K24" s="47">
        <v>-7889</v>
      </c>
      <c r="L24" s="47" t="s">
        <v>81</v>
      </c>
      <c r="M24" s="48" t="s">
        <v>67</v>
      </c>
      <c r="N24" s="48"/>
      <c r="O24" s="49" t="s">
        <v>68</v>
      </c>
      <c r="P24" s="50" t="s">
        <v>69</v>
      </c>
    </row>
    <row r="25" spans="1:16" ht="12.75" customHeight="1" thickBot="1" x14ac:dyDescent="0.25">
      <c r="A25" s="11" t="str">
        <f t="shared" si="0"/>
        <v>IBVS 3442 </v>
      </c>
      <c r="B25" s="15" t="str">
        <f t="shared" si="1"/>
        <v>I</v>
      </c>
      <c r="C25" s="11">
        <f t="shared" si="2"/>
        <v>28484.742999999999</v>
      </c>
      <c r="D25" s="9" t="str">
        <f t="shared" si="3"/>
        <v>vis</v>
      </c>
      <c r="E25" s="46">
        <f>VLOOKUP(C25,Active!C$21:E$973,3,FALSE)</f>
        <v>-7886.9284730812351</v>
      </c>
      <c r="F25" s="15" t="s">
        <v>62</v>
      </c>
      <c r="G25" s="9" t="str">
        <f t="shared" si="4"/>
        <v>28484.743</v>
      </c>
      <c r="H25" s="11">
        <f t="shared" si="5"/>
        <v>-7887</v>
      </c>
      <c r="I25" s="47" t="s">
        <v>82</v>
      </c>
      <c r="J25" s="48" t="s">
        <v>83</v>
      </c>
      <c r="K25" s="47">
        <v>-7887</v>
      </c>
      <c r="L25" s="47" t="s">
        <v>84</v>
      </c>
      <c r="M25" s="48" t="s">
        <v>67</v>
      </c>
      <c r="N25" s="48"/>
      <c r="O25" s="49" t="s">
        <v>68</v>
      </c>
      <c r="P25" s="50" t="s">
        <v>69</v>
      </c>
    </row>
    <row r="26" spans="1:16" ht="12.75" customHeight="1" thickBot="1" x14ac:dyDescent="0.25">
      <c r="A26" s="11" t="str">
        <f t="shared" si="0"/>
        <v>IBVS 3442 </v>
      </c>
      <c r="B26" s="15" t="str">
        <f t="shared" si="1"/>
        <v>I</v>
      </c>
      <c r="C26" s="11">
        <f t="shared" si="2"/>
        <v>28877.553</v>
      </c>
      <c r="D26" s="9" t="str">
        <f t="shared" si="3"/>
        <v>vis</v>
      </c>
      <c r="E26" s="46">
        <f>VLOOKUP(C26,Active!C$21:E$973,3,FALSE)</f>
        <v>-7757.9407676477658</v>
      </c>
      <c r="F26" s="15" t="s">
        <v>62</v>
      </c>
      <c r="G26" s="9" t="str">
        <f t="shared" si="4"/>
        <v>28877.553</v>
      </c>
      <c r="H26" s="11">
        <f t="shared" si="5"/>
        <v>-7758</v>
      </c>
      <c r="I26" s="47" t="s">
        <v>85</v>
      </c>
      <c r="J26" s="48" t="s">
        <v>86</v>
      </c>
      <c r="K26" s="47">
        <v>-7758</v>
      </c>
      <c r="L26" s="47" t="s">
        <v>87</v>
      </c>
      <c r="M26" s="48" t="s">
        <v>67</v>
      </c>
      <c r="N26" s="48"/>
      <c r="O26" s="49" t="s">
        <v>68</v>
      </c>
      <c r="P26" s="50" t="s">
        <v>69</v>
      </c>
    </row>
    <row r="27" spans="1:16" ht="12.75" customHeight="1" thickBot="1" x14ac:dyDescent="0.25">
      <c r="A27" s="11" t="str">
        <f t="shared" si="0"/>
        <v>IBVS 3442 </v>
      </c>
      <c r="B27" s="15" t="str">
        <f t="shared" si="1"/>
        <v>I</v>
      </c>
      <c r="C27" s="11">
        <f t="shared" si="2"/>
        <v>30296.595000000001</v>
      </c>
      <c r="D27" s="9" t="str">
        <f t="shared" si="3"/>
        <v>vis</v>
      </c>
      <c r="E27" s="46">
        <f>VLOOKUP(C27,Active!C$21:E$973,3,FALSE)</f>
        <v>-7291.9674688678961</v>
      </c>
      <c r="F27" s="15" t="s">
        <v>62</v>
      </c>
      <c r="G27" s="9" t="str">
        <f t="shared" si="4"/>
        <v>30296.595</v>
      </c>
      <c r="H27" s="11">
        <f t="shared" si="5"/>
        <v>-7292</v>
      </c>
      <c r="I27" s="47" t="s">
        <v>88</v>
      </c>
      <c r="J27" s="48" t="s">
        <v>89</v>
      </c>
      <c r="K27" s="47">
        <v>-7292</v>
      </c>
      <c r="L27" s="47" t="s">
        <v>90</v>
      </c>
      <c r="M27" s="48" t="s">
        <v>67</v>
      </c>
      <c r="N27" s="48"/>
      <c r="O27" s="49" t="s">
        <v>68</v>
      </c>
      <c r="P27" s="50" t="s">
        <v>69</v>
      </c>
    </row>
    <row r="28" spans="1:16" ht="12.75" customHeight="1" thickBot="1" x14ac:dyDescent="0.25">
      <c r="A28" s="11" t="str">
        <f t="shared" si="0"/>
        <v>IBVS 3442 </v>
      </c>
      <c r="B28" s="15" t="str">
        <f t="shared" si="1"/>
        <v>I</v>
      </c>
      <c r="C28" s="11">
        <f t="shared" si="2"/>
        <v>30573.811000000002</v>
      </c>
      <c r="D28" s="9" t="str">
        <f t="shared" si="3"/>
        <v>vis</v>
      </c>
      <c r="E28" s="46">
        <f>VLOOKUP(C28,Active!C$21:E$973,3,FALSE)</f>
        <v>-7200.93756700836</v>
      </c>
      <c r="F28" s="15" t="s">
        <v>62</v>
      </c>
      <c r="G28" s="9" t="str">
        <f t="shared" si="4"/>
        <v>30573.811</v>
      </c>
      <c r="H28" s="11">
        <f t="shared" si="5"/>
        <v>-7201</v>
      </c>
      <c r="I28" s="47" t="s">
        <v>91</v>
      </c>
      <c r="J28" s="48" t="s">
        <v>92</v>
      </c>
      <c r="K28" s="47">
        <v>-7201</v>
      </c>
      <c r="L28" s="47" t="s">
        <v>93</v>
      </c>
      <c r="M28" s="48" t="s">
        <v>67</v>
      </c>
      <c r="N28" s="48"/>
      <c r="O28" s="49" t="s">
        <v>68</v>
      </c>
      <c r="P28" s="50" t="s">
        <v>69</v>
      </c>
    </row>
    <row r="29" spans="1:16" ht="12.75" customHeight="1" thickBot="1" x14ac:dyDescent="0.25">
      <c r="A29" s="11" t="str">
        <f t="shared" si="0"/>
        <v>IBVS 3442 </v>
      </c>
      <c r="B29" s="15" t="str">
        <f t="shared" si="1"/>
        <v>I</v>
      </c>
      <c r="C29" s="11">
        <f t="shared" si="2"/>
        <v>30981.795999999998</v>
      </c>
      <c r="D29" s="9" t="str">
        <f t="shared" si="3"/>
        <v>vis</v>
      </c>
      <c r="E29" s="46">
        <f>VLOOKUP(C29,Active!C$21:E$973,3,FALSE)</f>
        <v>-7066.9668203336996</v>
      </c>
      <c r="F29" s="15" t="s">
        <v>62</v>
      </c>
      <c r="G29" s="9" t="str">
        <f t="shared" si="4"/>
        <v>30981.796</v>
      </c>
      <c r="H29" s="11">
        <f t="shared" si="5"/>
        <v>-7067</v>
      </c>
      <c r="I29" s="47" t="s">
        <v>94</v>
      </c>
      <c r="J29" s="48" t="s">
        <v>95</v>
      </c>
      <c r="K29" s="47">
        <v>-7067</v>
      </c>
      <c r="L29" s="47" t="s">
        <v>96</v>
      </c>
      <c r="M29" s="48" t="s">
        <v>67</v>
      </c>
      <c r="N29" s="48"/>
      <c r="O29" s="49" t="s">
        <v>68</v>
      </c>
      <c r="P29" s="50" t="s">
        <v>69</v>
      </c>
    </row>
    <row r="30" spans="1:16" ht="12.75" customHeight="1" thickBot="1" x14ac:dyDescent="0.25">
      <c r="A30" s="11" t="str">
        <f t="shared" si="0"/>
        <v>IBVS 3442 </v>
      </c>
      <c r="B30" s="15" t="str">
        <f t="shared" si="1"/>
        <v>I</v>
      </c>
      <c r="C30" s="11">
        <f t="shared" si="2"/>
        <v>45227.756000000001</v>
      </c>
      <c r="D30" s="9" t="str">
        <f t="shared" si="3"/>
        <v>vis</v>
      </c>
      <c r="E30" s="46">
        <f>VLOOKUP(C30,Active!C$21:E$973,3,FALSE)</f>
        <v>-2388.9960657781153</v>
      </c>
      <c r="F30" s="15" t="s">
        <v>62</v>
      </c>
      <c r="G30" s="9" t="str">
        <f t="shared" si="4"/>
        <v>45227.756</v>
      </c>
      <c r="H30" s="11">
        <f t="shared" si="5"/>
        <v>-2389</v>
      </c>
      <c r="I30" s="47" t="s">
        <v>97</v>
      </c>
      <c r="J30" s="48" t="s">
        <v>98</v>
      </c>
      <c r="K30" s="47">
        <v>-2389</v>
      </c>
      <c r="L30" s="47" t="s">
        <v>99</v>
      </c>
      <c r="M30" s="48" t="s">
        <v>67</v>
      </c>
      <c r="N30" s="48"/>
      <c r="O30" s="49" t="s">
        <v>68</v>
      </c>
      <c r="P30" s="50" t="s">
        <v>69</v>
      </c>
    </row>
    <row r="31" spans="1:16" ht="12.75" customHeight="1" thickBot="1" x14ac:dyDescent="0.25">
      <c r="A31" s="11" t="str">
        <f t="shared" si="0"/>
        <v>IBVS 3442 </v>
      </c>
      <c r="B31" s="15" t="str">
        <f t="shared" si="1"/>
        <v>I</v>
      </c>
      <c r="C31" s="11">
        <f t="shared" si="2"/>
        <v>46488.523000000001</v>
      </c>
      <c r="D31" s="9" t="str">
        <f t="shared" si="3"/>
        <v>vis</v>
      </c>
      <c r="E31" s="46">
        <f>VLOOKUP(C31,Active!C$21:E$973,3,FALSE)</f>
        <v>-1974.9958050509492</v>
      </c>
      <c r="F31" s="15" t="s">
        <v>62</v>
      </c>
      <c r="G31" s="9" t="str">
        <f t="shared" si="4"/>
        <v>46488.523</v>
      </c>
      <c r="H31" s="11">
        <f t="shared" si="5"/>
        <v>-1975</v>
      </c>
      <c r="I31" s="47" t="s">
        <v>100</v>
      </c>
      <c r="J31" s="48" t="s">
        <v>101</v>
      </c>
      <c r="K31" s="47">
        <v>-1975</v>
      </c>
      <c r="L31" s="47" t="s">
        <v>99</v>
      </c>
      <c r="M31" s="48" t="s">
        <v>67</v>
      </c>
      <c r="N31" s="48"/>
      <c r="O31" s="49" t="s">
        <v>68</v>
      </c>
      <c r="P31" s="50" t="s">
        <v>69</v>
      </c>
    </row>
    <row r="32" spans="1:16" ht="12.75" customHeight="1" thickBot="1" x14ac:dyDescent="0.25">
      <c r="A32" s="11" t="str">
        <f t="shared" si="0"/>
        <v>IBVS 3442 </v>
      </c>
      <c r="B32" s="15" t="str">
        <f t="shared" si="1"/>
        <v>I</v>
      </c>
      <c r="C32" s="11">
        <f t="shared" si="2"/>
        <v>47383.841</v>
      </c>
      <c r="D32" s="9" t="str">
        <f t="shared" si="3"/>
        <v>vis</v>
      </c>
      <c r="E32" s="46">
        <f>VLOOKUP(C32,Active!C$21:E$973,3,FALSE)</f>
        <v>-1680.9986704228024</v>
      </c>
      <c r="F32" s="15" t="s">
        <v>62</v>
      </c>
      <c r="G32" s="9" t="str">
        <f t="shared" si="4"/>
        <v>47383.841</v>
      </c>
      <c r="H32" s="11">
        <f t="shared" si="5"/>
        <v>-1681</v>
      </c>
      <c r="I32" s="47" t="s">
        <v>102</v>
      </c>
      <c r="J32" s="48" t="s">
        <v>103</v>
      </c>
      <c r="K32" s="47">
        <v>-1681</v>
      </c>
      <c r="L32" s="47" t="s">
        <v>104</v>
      </c>
      <c r="M32" s="48" t="s">
        <v>67</v>
      </c>
      <c r="N32" s="48"/>
      <c r="O32" s="49" t="s">
        <v>68</v>
      </c>
      <c r="P32" s="50" t="s">
        <v>69</v>
      </c>
    </row>
    <row r="33" spans="1:16" ht="12.75" customHeight="1" thickBot="1" x14ac:dyDescent="0.25">
      <c r="A33" s="11" t="str">
        <f t="shared" si="0"/>
        <v>IBVS 3442 </v>
      </c>
      <c r="B33" s="15" t="str">
        <f t="shared" si="1"/>
        <v>I</v>
      </c>
      <c r="C33" s="11">
        <f t="shared" si="2"/>
        <v>47502.61</v>
      </c>
      <c r="D33" s="9" t="str">
        <f t="shared" si="3"/>
        <v>vis</v>
      </c>
      <c r="E33" s="46">
        <f>VLOOKUP(C33,Active!C$21:E$973,3,FALSE)</f>
        <v>-1641.9982865562317</v>
      </c>
      <c r="F33" s="15" t="s">
        <v>62</v>
      </c>
      <c r="G33" s="9" t="str">
        <f t="shared" si="4"/>
        <v>47502.610</v>
      </c>
      <c r="H33" s="11">
        <f t="shared" si="5"/>
        <v>-1642</v>
      </c>
      <c r="I33" s="47" t="s">
        <v>105</v>
      </c>
      <c r="J33" s="48" t="s">
        <v>106</v>
      </c>
      <c r="K33" s="47">
        <v>-1642</v>
      </c>
      <c r="L33" s="47" t="s">
        <v>107</v>
      </c>
      <c r="M33" s="48" t="s">
        <v>67</v>
      </c>
      <c r="N33" s="48"/>
      <c r="O33" s="49" t="s">
        <v>108</v>
      </c>
      <c r="P33" s="50" t="s">
        <v>69</v>
      </c>
    </row>
    <row r="34" spans="1:16" ht="12.75" customHeight="1" thickBot="1" x14ac:dyDescent="0.25">
      <c r="A34" s="11" t="str">
        <f t="shared" si="0"/>
        <v>IBVS 3442 </v>
      </c>
      <c r="B34" s="15" t="str">
        <f t="shared" si="1"/>
        <v>I</v>
      </c>
      <c r="C34" s="11">
        <f t="shared" si="2"/>
        <v>47505.663999999997</v>
      </c>
      <c r="D34" s="9" t="str">
        <f t="shared" si="3"/>
        <v>vis</v>
      </c>
      <c r="E34" s="46">
        <f>VLOOKUP(C34,Active!C$21:E$973,3,FALSE)</f>
        <v>-1640.9954392448258</v>
      </c>
      <c r="F34" s="15" t="s">
        <v>62</v>
      </c>
      <c r="G34" s="9" t="str">
        <f t="shared" si="4"/>
        <v>47505.664</v>
      </c>
      <c r="H34" s="11">
        <f t="shared" si="5"/>
        <v>-1641</v>
      </c>
      <c r="I34" s="47" t="s">
        <v>109</v>
      </c>
      <c r="J34" s="48" t="s">
        <v>110</v>
      </c>
      <c r="K34" s="47">
        <v>-1641</v>
      </c>
      <c r="L34" s="47" t="s">
        <v>99</v>
      </c>
      <c r="M34" s="48" t="s">
        <v>67</v>
      </c>
      <c r="N34" s="48"/>
      <c r="O34" s="49" t="s">
        <v>68</v>
      </c>
      <c r="P34" s="50" t="s">
        <v>69</v>
      </c>
    </row>
    <row r="35" spans="1:16" ht="12.75" customHeight="1" thickBot="1" x14ac:dyDescent="0.25">
      <c r="A35" s="11" t="str">
        <f t="shared" si="0"/>
        <v>IBVS 3442 </v>
      </c>
      <c r="B35" s="15" t="str">
        <f t="shared" si="1"/>
        <v>I</v>
      </c>
      <c r="C35" s="11">
        <f t="shared" si="2"/>
        <v>47636.59</v>
      </c>
      <c r="D35" s="9" t="str">
        <f t="shared" si="3"/>
        <v>vis</v>
      </c>
      <c r="E35" s="46">
        <f>VLOOKUP(C35,Active!C$21:E$973,3,FALSE)</f>
        <v>-1598.003040065624</v>
      </c>
      <c r="F35" s="15" t="s">
        <v>62</v>
      </c>
      <c r="G35" s="9" t="str">
        <f t="shared" si="4"/>
        <v>47636.590</v>
      </c>
      <c r="H35" s="11">
        <f t="shared" si="5"/>
        <v>-1598</v>
      </c>
      <c r="I35" s="47" t="s">
        <v>111</v>
      </c>
      <c r="J35" s="48" t="s">
        <v>112</v>
      </c>
      <c r="K35" s="47">
        <v>-1598</v>
      </c>
      <c r="L35" s="47" t="s">
        <v>113</v>
      </c>
      <c r="M35" s="48" t="s">
        <v>114</v>
      </c>
      <c r="N35" s="48"/>
      <c r="O35" s="49" t="s">
        <v>115</v>
      </c>
      <c r="P35" s="50" t="s">
        <v>69</v>
      </c>
    </row>
    <row r="36" spans="1:16" ht="12.75" customHeight="1" thickBot="1" x14ac:dyDescent="0.25">
      <c r="A36" s="11" t="str">
        <f t="shared" si="0"/>
        <v>IBVS 3442 </v>
      </c>
      <c r="B36" s="15" t="str">
        <f t="shared" si="1"/>
        <v>I</v>
      </c>
      <c r="C36" s="11">
        <f t="shared" si="2"/>
        <v>47718.839</v>
      </c>
      <c r="D36" s="9" t="str">
        <f t="shared" si="3"/>
        <v>vis</v>
      </c>
      <c r="E36" s="46">
        <f>VLOOKUP(C36,Active!C$21:E$973,3,FALSE)</f>
        <v>-1570.9947923524858</v>
      </c>
      <c r="F36" s="15" t="s">
        <v>62</v>
      </c>
      <c r="G36" s="9" t="str">
        <f t="shared" si="4"/>
        <v>47718.839</v>
      </c>
      <c r="H36" s="11">
        <f t="shared" si="5"/>
        <v>-1571</v>
      </c>
      <c r="I36" s="47" t="s">
        <v>116</v>
      </c>
      <c r="J36" s="48" t="s">
        <v>117</v>
      </c>
      <c r="K36" s="47">
        <v>-1571</v>
      </c>
      <c r="L36" s="47" t="s">
        <v>118</v>
      </c>
      <c r="M36" s="48" t="s">
        <v>114</v>
      </c>
      <c r="N36" s="48"/>
      <c r="O36" s="49" t="s">
        <v>115</v>
      </c>
      <c r="P36" s="50" t="s">
        <v>69</v>
      </c>
    </row>
    <row r="37" spans="1:16" ht="12.75" customHeight="1" thickBot="1" x14ac:dyDescent="0.25">
      <c r="A37" s="11" t="str">
        <f t="shared" si="0"/>
        <v>BAVM 62 </v>
      </c>
      <c r="B37" s="15" t="str">
        <f t="shared" si="1"/>
        <v>I</v>
      </c>
      <c r="C37" s="11">
        <f t="shared" si="2"/>
        <v>48562.35</v>
      </c>
      <c r="D37" s="9" t="str">
        <f t="shared" si="3"/>
        <v>vis</v>
      </c>
      <c r="E37" s="46">
        <f>VLOOKUP(C37,Active!C$21:E$973,3,FALSE)</f>
        <v>-1294.0096127544855</v>
      </c>
      <c r="F37" s="15" t="s">
        <v>62</v>
      </c>
      <c r="G37" s="9" t="str">
        <f t="shared" si="4"/>
        <v>48562.35</v>
      </c>
      <c r="H37" s="11">
        <f t="shared" si="5"/>
        <v>-1294</v>
      </c>
      <c r="I37" s="47" t="s">
        <v>126</v>
      </c>
      <c r="J37" s="48" t="s">
        <v>127</v>
      </c>
      <c r="K37" s="47">
        <v>-1294</v>
      </c>
      <c r="L37" s="47" t="s">
        <v>128</v>
      </c>
      <c r="M37" s="48" t="s">
        <v>122</v>
      </c>
      <c r="N37" s="48" t="s">
        <v>129</v>
      </c>
      <c r="O37" s="49" t="s">
        <v>130</v>
      </c>
      <c r="P37" s="50" t="s">
        <v>131</v>
      </c>
    </row>
    <row r="38" spans="1:16" ht="12.75" customHeight="1" thickBot="1" x14ac:dyDescent="0.25">
      <c r="A38" s="11" t="str">
        <f t="shared" si="0"/>
        <v>BAVM 62 </v>
      </c>
      <c r="B38" s="15" t="str">
        <f t="shared" si="1"/>
        <v>I</v>
      </c>
      <c r="C38" s="11">
        <f t="shared" si="2"/>
        <v>48562.35</v>
      </c>
      <c r="D38" s="9" t="str">
        <f t="shared" si="3"/>
        <v>vis</v>
      </c>
      <c r="E38" s="46">
        <f>VLOOKUP(C38,Active!C$21:E$973,3,FALSE)</f>
        <v>-1294.0096127544855</v>
      </c>
      <c r="F38" s="15" t="s">
        <v>62</v>
      </c>
      <c r="G38" s="9" t="str">
        <f t="shared" si="4"/>
        <v>48562.35</v>
      </c>
      <c r="H38" s="11">
        <f t="shared" si="5"/>
        <v>-1294</v>
      </c>
      <c r="I38" s="47" t="s">
        <v>126</v>
      </c>
      <c r="J38" s="48" t="s">
        <v>127</v>
      </c>
      <c r="K38" s="47">
        <v>-1294</v>
      </c>
      <c r="L38" s="47" t="s">
        <v>128</v>
      </c>
      <c r="M38" s="48" t="s">
        <v>122</v>
      </c>
      <c r="N38" s="48" t="s">
        <v>31</v>
      </c>
      <c r="O38" s="49" t="s">
        <v>130</v>
      </c>
      <c r="P38" s="50" t="s">
        <v>131</v>
      </c>
    </row>
    <row r="39" spans="1:16" ht="12.75" customHeight="1" thickBot="1" x14ac:dyDescent="0.25">
      <c r="A39" s="11" t="str">
        <f t="shared" si="0"/>
        <v>IBVS 4008 </v>
      </c>
      <c r="B39" s="15" t="str">
        <f t="shared" si="1"/>
        <v>I</v>
      </c>
      <c r="C39" s="11">
        <f t="shared" si="2"/>
        <v>49049.620999999999</v>
      </c>
      <c r="D39" s="9" t="str">
        <f t="shared" si="3"/>
        <v>vis</v>
      </c>
      <c r="E39" s="46">
        <f>VLOOKUP(C39,Active!C$21:E$973,3,FALSE)</f>
        <v>-1134.003583849234</v>
      </c>
      <c r="F39" s="15" t="s">
        <v>62</v>
      </c>
      <c r="G39" s="9" t="str">
        <f t="shared" si="4"/>
        <v>49049.621</v>
      </c>
      <c r="H39" s="11">
        <f t="shared" si="5"/>
        <v>-1134</v>
      </c>
      <c r="I39" s="47" t="s">
        <v>132</v>
      </c>
      <c r="J39" s="48" t="s">
        <v>133</v>
      </c>
      <c r="K39" s="47">
        <v>-1134</v>
      </c>
      <c r="L39" s="47" t="s">
        <v>134</v>
      </c>
      <c r="M39" s="48" t="s">
        <v>122</v>
      </c>
      <c r="N39" s="48" t="s">
        <v>135</v>
      </c>
      <c r="O39" s="49" t="s">
        <v>136</v>
      </c>
      <c r="P39" s="50" t="s">
        <v>137</v>
      </c>
    </row>
    <row r="40" spans="1:16" x14ac:dyDescent="0.2">
      <c r="B40" s="15"/>
      <c r="E40" s="46"/>
      <c r="F40" s="15"/>
    </row>
    <row r="41" spans="1:16" x14ac:dyDescent="0.2">
      <c r="B41" s="15"/>
      <c r="E41" s="46"/>
      <c r="F41" s="15"/>
    </row>
    <row r="42" spans="1:16" x14ac:dyDescent="0.2">
      <c r="B42" s="15"/>
      <c r="E42" s="46"/>
      <c r="F42" s="15"/>
    </row>
    <row r="43" spans="1:16" x14ac:dyDescent="0.2">
      <c r="B43" s="15"/>
      <c r="E43" s="46"/>
      <c r="F43" s="15"/>
    </row>
    <row r="44" spans="1:16" x14ac:dyDescent="0.2">
      <c r="B44" s="15"/>
      <c r="E44" s="46"/>
      <c r="F44" s="15"/>
    </row>
    <row r="45" spans="1:16" x14ac:dyDescent="0.2">
      <c r="B45" s="15"/>
      <c r="E45" s="46"/>
      <c r="F45" s="15"/>
    </row>
    <row r="46" spans="1:16" x14ac:dyDescent="0.2">
      <c r="B46" s="15"/>
      <c r="E46" s="46"/>
      <c r="F46" s="15"/>
    </row>
    <row r="47" spans="1:16" x14ac:dyDescent="0.2">
      <c r="B47" s="15"/>
      <c r="E47" s="46"/>
      <c r="F47" s="15"/>
    </row>
    <row r="48" spans="1:16" x14ac:dyDescent="0.2">
      <c r="B48" s="15"/>
      <c r="E48" s="46"/>
      <c r="F48" s="15"/>
    </row>
    <row r="49" spans="2:6" x14ac:dyDescent="0.2">
      <c r="B49" s="15"/>
      <c r="E49" s="46"/>
      <c r="F49" s="15"/>
    </row>
    <row r="50" spans="2:6" x14ac:dyDescent="0.2">
      <c r="B50" s="15"/>
      <c r="E50" s="46"/>
      <c r="F50" s="15"/>
    </row>
    <row r="51" spans="2:6" x14ac:dyDescent="0.2">
      <c r="B51" s="15"/>
      <c r="E51" s="46"/>
      <c r="F51" s="15"/>
    </row>
    <row r="52" spans="2:6" x14ac:dyDescent="0.2">
      <c r="B52" s="15"/>
      <c r="E52" s="46"/>
      <c r="F52" s="15"/>
    </row>
    <row r="53" spans="2:6" x14ac:dyDescent="0.2">
      <c r="B53" s="15"/>
      <c r="E53" s="46"/>
      <c r="F53" s="15"/>
    </row>
    <row r="54" spans="2:6" x14ac:dyDescent="0.2">
      <c r="B54" s="15"/>
      <c r="E54" s="46"/>
      <c r="F54" s="15"/>
    </row>
    <row r="55" spans="2:6" x14ac:dyDescent="0.2">
      <c r="B55" s="15"/>
      <c r="E55" s="46"/>
      <c r="F55" s="15"/>
    </row>
    <row r="56" spans="2:6" x14ac:dyDescent="0.2">
      <c r="B56" s="15"/>
      <c r="E56" s="46"/>
      <c r="F56" s="15"/>
    </row>
    <row r="57" spans="2:6" x14ac:dyDescent="0.2">
      <c r="B57" s="15"/>
      <c r="E57" s="46"/>
      <c r="F57" s="15"/>
    </row>
    <row r="58" spans="2:6" x14ac:dyDescent="0.2">
      <c r="B58" s="15"/>
      <c r="E58" s="46"/>
      <c r="F58" s="15"/>
    </row>
    <row r="59" spans="2:6" x14ac:dyDescent="0.2">
      <c r="B59" s="15"/>
      <c r="E59" s="46"/>
      <c r="F59" s="15"/>
    </row>
    <row r="60" spans="2:6" x14ac:dyDescent="0.2">
      <c r="B60" s="15"/>
      <c r="E60" s="46"/>
      <c r="F60" s="15"/>
    </row>
    <row r="61" spans="2:6" x14ac:dyDescent="0.2">
      <c r="B61" s="15"/>
      <c r="E61" s="46"/>
      <c r="F61" s="15"/>
    </row>
    <row r="62" spans="2:6" x14ac:dyDescent="0.2">
      <c r="B62" s="15"/>
      <c r="E62" s="46"/>
      <c r="F62" s="15"/>
    </row>
    <row r="63" spans="2:6" x14ac:dyDescent="0.2">
      <c r="B63" s="15"/>
      <c r="E63" s="46"/>
      <c r="F63" s="15"/>
    </row>
    <row r="64" spans="2:6" x14ac:dyDescent="0.2">
      <c r="B64" s="15"/>
      <c r="E64" s="46"/>
      <c r="F64" s="15"/>
    </row>
    <row r="65" spans="2:6" x14ac:dyDescent="0.2">
      <c r="B65" s="15"/>
      <c r="E65" s="46"/>
      <c r="F65" s="15"/>
    </row>
    <row r="66" spans="2:6" x14ac:dyDescent="0.2">
      <c r="B66" s="15"/>
      <c r="E66" s="46"/>
      <c r="F66" s="15"/>
    </row>
    <row r="67" spans="2:6" x14ac:dyDescent="0.2">
      <c r="B67" s="15"/>
      <c r="E67" s="46"/>
      <c r="F67" s="15"/>
    </row>
    <row r="68" spans="2:6" x14ac:dyDescent="0.2">
      <c r="B68" s="15"/>
      <c r="E68" s="46"/>
      <c r="F68" s="15"/>
    </row>
    <row r="69" spans="2:6" x14ac:dyDescent="0.2">
      <c r="B69" s="15"/>
      <c r="E69" s="46"/>
      <c r="F69" s="15"/>
    </row>
    <row r="70" spans="2:6" x14ac:dyDescent="0.2">
      <c r="B70" s="15"/>
      <c r="E70" s="46"/>
      <c r="F70" s="15"/>
    </row>
    <row r="71" spans="2:6" x14ac:dyDescent="0.2">
      <c r="B71" s="15"/>
      <c r="E71" s="46"/>
      <c r="F71" s="15"/>
    </row>
    <row r="72" spans="2:6" x14ac:dyDescent="0.2">
      <c r="B72" s="15"/>
      <c r="E72" s="46"/>
      <c r="F72" s="15"/>
    </row>
    <row r="73" spans="2:6" x14ac:dyDescent="0.2">
      <c r="B73" s="15"/>
      <c r="E73" s="46"/>
      <c r="F73" s="15"/>
    </row>
    <row r="74" spans="2:6" x14ac:dyDescent="0.2">
      <c r="B74" s="15"/>
      <c r="E74" s="46"/>
      <c r="F74" s="15"/>
    </row>
    <row r="75" spans="2:6" x14ac:dyDescent="0.2">
      <c r="B75" s="15"/>
      <c r="E75" s="46"/>
      <c r="F75" s="15"/>
    </row>
    <row r="76" spans="2:6" x14ac:dyDescent="0.2">
      <c r="B76" s="15"/>
      <c r="E76" s="46"/>
      <c r="F76" s="15"/>
    </row>
    <row r="77" spans="2:6" x14ac:dyDescent="0.2">
      <c r="B77" s="15"/>
      <c r="E77" s="46"/>
      <c r="F77" s="15"/>
    </row>
    <row r="78" spans="2:6" x14ac:dyDescent="0.2">
      <c r="B78" s="15"/>
      <c r="E78" s="46"/>
      <c r="F78" s="15"/>
    </row>
    <row r="79" spans="2:6" x14ac:dyDescent="0.2">
      <c r="B79" s="15"/>
      <c r="E79" s="46"/>
      <c r="F79" s="15"/>
    </row>
    <row r="80" spans="2:6" x14ac:dyDescent="0.2">
      <c r="B80" s="15"/>
      <c r="E80" s="46"/>
      <c r="F80" s="15"/>
    </row>
    <row r="81" spans="2:6" x14ac:dyDescent="0.2">
      <c r="B81" s="15"/>
      <c r="E81" s="46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  <row r="821" spans="2:6" x14ac:dyDescent="0.2">
      <c r="B821" s="15"/>
      <c r="F821" s="15"/>
    </row>
    <row r="822" spans="2:6" x14ac:dyDescent="0.2">
      <c r="B822" s="15"/>
      <c r="F822" s="15"/>
    </row>
    <row r="823" spans="2:6" x14ac:dyDescent="0.2">
      <c r="B823" s="15"/>
      <c r="F823" s="15"/>
    </row>
    <row r="824" spans="2:6" x14ac:dyDescent="0.2">
      <c r="B824" s="15"/>
      <c r="F824" s="15"/>
    </row>
    <row r="825" spans="2:6" x14ac:dyDescent="0.2">
      <c r="B825" s="15"/>
      <c r="F825" s="15"/>
    </row>
    <row r="826" spans="2:6" x14ac:dyDescent="0.2">
      <c r="B826" s="15"/>
      <c r="F826" s="15"/>
    </row>
    <row r="827" spans="2:6" x14ac:dyDescent="0.2">
      <c r="B827" s="15"/>
      <c r="F827" s="15"/>
    </row>
    <row r="828" spans="2:6" x14ac:dyDescent="0.2">
      <c r="B828" s="15"/>
      <c r="F828" s="15"/>
    </row>
    <row r="829" spans="2:6" x14ac:dyDescent="0.2">
      <c r="B829" s="15"/>
      <c r="F829" s="15"/>
    </row>
    <row r="830" spans="2:6" x14ac:dyDescent="0.2">
      <c r="B830" s="15"/>
      <c r="F830" s="15"/>
    </row>
    <row r="831" spans="2:6" x14ac:dyDescent="0.2">
      <c r="B831" s="15"/>
      <c r="F831" s="15"/>
    </row>
    <row r="832" spans="2:6" x14ac:dyDescent="0.2">
      <c r="B832" s="15"/>
      <c r="F832" s="15"/>
    </row>
    <row r="833" spans="2:6" x14ac:dyDescent="0.2">
      <c r="B833" s="15"/>
      <c r="F833" s="15"/>
    </row>
    <row r="834" spans="2:6" x14ac:dyDescent="0.2">
      <c r="B834" s="15"/>
      <c r="F834" s="15"/>
    </row>
    <row r="835" spans="2:6" x14ac:dyDescent="0.2">
      <c r="B835" s="15"/>
      <c r="F835" s="15"/>
    </row>
    <row r="836" spans="2:6" x14ac:dyDescent="0.2">
      <c r="B836" s="15"/>
      <c r="F836" s="15"/>
    </row>
    <row r="837" spans="2:6" x14ac:dyDescent="0.2">
      <c r="B837" s="15"/>
      <c r="F837" s="15"/>
    </row>
    <row r="838" spans="2:6" x14ac:dyDescent="0.2">
      <c r="B838" s="15"/>
      <c r="F838" s="15"/>
    </row>
    <row r="839" spans="2:6" x14ac:dyDescent="0.2">
      <c r="B839" s="15"/>
      <c r="F839" s="15"/>
    </row>
    <row r="840" spans="2:6" x14ac:dyDescent="0.2">
      <c r="B840" s="15"/>
      <c r="F840" s="15"/>
    </row>
    <row r="841" spans="2:6" x14ac:dyDescent="0.2">
      <c r="B841" s="15"/>
      <c r="F841" s="15"/>
    </row>
    <row r="842" spans="2:6" x14ac:dyDescent="0.2">
      <c r="B842" s="15"/>
      <c r="F842" s="15"/>
    </row>
    <row r="843" spans="2:6" x14ac:dyDescent="0.2">
      <c r="B843" s="15"/>
      <c r="F843" s="15"/>
    </row>
    <row r="844" spans="2:6" x14ac:dyDescent="0.2">
      <c r="B844" s="15"/>
      <c r="F844" s="15"/>
    </row>
    <row r="845" spans="2:6" x14ac:dyDescent="0.2">
      <c r="B845" s="15"/>
      <c r="F845" s="15"/>
    </row>
    <row r="846" spans="2:6" x14ac:dyDescent="0.2">
      <c r="B846" s="15"/>
      <c r="F846" s="15"/>
    </row>
    <row r="847" spans="2:6" x14ac:dyDescent="0.2">
      <c r="B847" s="15"/>
      <c r="F847" s="15"/>
    </row>
    <row r="848" spans="2:6" x14ac:dyDescent="0.2">
      <c r="B848" s="15"/>
      <c r="F848" s="15"/>
    </row>
    <row r="849" spans="2:6" x14ac:dyDescent="0.2">
      <c r="B849" s="15"/>
      <c r="F849" s="15"/>
    </row>
    <row r="850" spans="2:6" x14ac:dyDescent="0.2">
      <c r="B850" s="15"/>
      <c r="F850" s="15"/>
    </row>
    <row r="851" spans="2:6" x14ac:dyDescent="0.2">
      <c r="B851" s="15"/>
      <c r="F851" s="15"/>
    </row>
    <row r="852" spans="2:6" x14ac:dyDescent="0.2">
      <c r="B852" s="15"/>
      <c r="F852" s="15"/>
    </row>
    <row r="853" spans="2:6" x14ac:dyDescent="0.2">
      <c r="B853" s="15"/>
      <c r="F853" s="15"/>
    </row>
    <row r="854" spans="2:6" x14ac:dyDescent="0.2">
      <c r="B854" s="15"/>
      <c r="F854" s="15"/>
    </row>
    <row r="855" spans="2:6" x14ac:dyDescent="0.2">
      <c r="B855" s="15"/>
      <c r="F855" s="15"/>
    </row>
    <row r="856" spans="2:6" x14ac:dyDescent="0.2">
      <c r="B856" s="15"/>
      <c r="F856" s="15"/>
    </row>
    <row r="857" spans="2:6" x14ac:dyDescent="0.2">
      <c r="B857" s="15"/>
      <c r="F857" s="15"/>
    </row>
    <row r="858" spans="2:6" x14ac:dyDescent="0.2">
      <c r="B858" s="15"/>
      <c r="F858" s="15"/>
    </row>
    <row r="859" spans="2:6" x14ac:dyDescent="0.2">
      <c r="B859" s="15"/>
      <c r="F859" s="15"/>
    </row>
    <row r="860" spans="2:6" x14ac:dyDescent="0.2">
      <c r="B860" s="15"/>
      <c r="F860" s="15"/>
    </row>
    <row r="861" spans="2:6" x14ac:dyDescent="0.2">
      <c r="B861" s="15"/>
      <c r="F861" s="15"/>
    </row>
    <row r="862" spans="2:6" x14ac:dyDescent="0.2">
      <c r="B862" s="15"/>
      <c r="F862" s="15"/>
    </row>
    <row r="863" spans="2:6" x14ac:dyDescent="0.2">
      <c r="B863" s="15"/>
      <c r="F863" s="15"/>
    </row>
    <row r="864" spans="2:6" x14ac:dyDescent="0.2">
      <c r="B864" s="15"/>
      <c r="F864" s="15"/>
    </row>
    <row r="865" spans="2:6" x14ac:dyDescent="0.2">
      <c r="B865" s="15"/>
      <c r="F865" s="15"/>
    </row>
    <row r="866" spans="2:6" x14ac:dyDescent="0.2">
      <c r="B866" s="15"/>
      <c r="F866" s="15"/>
    </row>
    <row r="867" spans="2:6" x14ac:dyDescent="0.2">
      <c r="B867" s="15"/>
      <c r="F867" s="15"/>
    </row>
    <row r="868" spans="2:6" x14ac:dyDescent="0.2">
      <c r="B868" s="15"/>
      <c r="F868" s="15"/>
    </row>
    <row r="869" spans="2:6" x14ac:dyDescent="0.2">
      <c r="B869" s="15"/>
      <c r="F869" s="15"/>
    </row>
  </sheetData>
  <phoneticPr fontId="19" type="noConversion"/>
  <hyperlinks>
    <hyperlink ref="P20" r:id="rId1" display="http://www.konkoly.hu/cgi-bin/IBVS?3442" xr:uid="{00000000-0004-0000-0100-000000000000}"/>
    <hyperlink ref="P21" r:id="rId2" display="http://www.konkoly.hu/cgi-bin/IBVS?3442" xr:uid="{00000000-0004-0000-0100-000001000000}"/>
    <hyperlink ref="P22" r:id="rId3" display="http://www.konkoly.hu/cgi-bin/IBVS?3442" xr:uid="{00000000-0004-0000-0100-000002000000}"/>
    <hyperlink ref="P23" r:id="rId4" display="http://www.konkoly.hu/cgi-bin/IBVS?3442" xr:uid="{00000000-0004-0000-0100-000003000000}"/>
    <hyperlink ref="P24" r:id="rId5" display="http://www.konkoly.hu/cgi-bin/IBVS?3442" xr:uid="{00000000-0004-0000-0100-000004000000}"/>
    <hyperlink ref="P25" r:id="rId6" display="http://www.konkoly.hu/cgi-bin/IBVS?3442" xr:uid="{00000000-0004-0000-0100-000005000000}"/>
    <hyperlink ref="P26" r:id="rId7" display="http://www.konkoly.hu/cgi-bin/IBVS?3442" xr:uid="{00000000-0004-0000-0100-000006000000}"/>
    <hyperlink ref="P27" r:id="rId8" display="http://www.konkoly.hu/cgi-bin/IBVS?3442" xr:uid="{00000000-0004-0000-0100-000007000000}"/>
    <hyperlink ref="P28" r:id="rId9" display="http://www.konkoly.hu/cgi-bin/IBVS?3442" xr:uid="{00000000-0004-0000-0100-000008000000}"/>
    <hyperlink ref="P29" r:id="rId10" display="http://www.konkoly.hu/cgi-bin/IBVS?3442" xr:uid="{00000000-0004-0000-0100-000009000000}"/>
    <hyperlink ref="P30" r:id="rId11" display="http://www.konkoly.hu/cgi-bin/IBVS?3442" xr:uid="{00000000-0004-0000-0100-00000A000000}"/>
    <hyperlink ref="P31" r:id="rId12" display="http://www.konkoly.hu/cgi-bin/IBVS?3442" xr:uid="{00000000-0004-0000-0100-00000B000000}"/>
    <hyperlink ref="P32" r:id="rId13" display="http://www.konkoly.hu/cgi-bin/IBVS?3442" xr:uid="{00000000-0004-0000-0100-00000C000000}"/>
    <hyperlink ref="P33" r:id="rId14" display="http://www.konkoly.hu/cgi-bin/IBVS?3442" xr:uid="{00000000-0004-0000-0100-00000D000000}"/>
    <hyperlink ref="P34" r:id="rId15" display="http://www.konkoly.hu/cgi-bin/IBVS?3442" xr:uid="{00000000-0004-0000-0100-00000E000000}"/>
    <hyperlink ref="P35" r:id="rId16" display="http://www.konkoly.hu/cgi-bin/IBVS?3442" xr:uid="{00000000-0004-0000-0100-00000F000000}"/>
    <hyperlink ref="P36" r:id="rId17" display="http://www.konkoly.hu/cgi-bin/IBVS?3442" xr:uid="{00000000-0004-0000-0100-000010000000}"/>
    <hyperlink ref="P11" r:id="rId18" display="http://www.konkoly.hu/cgi-bin/IBVS?4327" xr:uid="{00000000-0004-0000-0100-000011000000}"/>
    <hyperlink ref="P37" r:id="rId19" display="http://www.bav-astro.de/sfs/BAVM_link.php?BAVMnr=62" xr:uid="{00000000-0004-0000-0100-000012000000}"/>
    <hyperlink ref="P38" r:id="rId20" display="http://www.bav-astro.de/sfs/BAVM_link.php?BAVMnr=62" xr:uid="{00000000-0004-0000-0100-000013000000}"/>
    <hyperlink ref="P39" r:id="rId21" display="http://www.konkoly.hu/cgi-bin/IBVS?4008" xr:uid="{00000000-0004-0000-0100-000014000000}"/>
    <hyperlink ref="P12" r:id="rId22" display="http://www.bav-astro.de/sfs/BAVM_link.php?BAVMnr=80" xr:uid="{00000000-0004-0000-0100-000015000000}"/>
    <hyperlink ref="P13" r:id="rId23" display="http://www.bav-astro.de/sfs/BAVM_link.php?BAVMnr=80" xr:uid="{00000000-0004-0000-0100-000016000000}"/>
    <hyperlink ref="P16" r:id="rId24" display="http://www.bav-astro.de/sfs/BAVM_link.php?BAVMnr=152" xr:uid="{00000000-0004-0000-0100-000017000000}"/>
    <hyperlink ref="P17" r:id="rId25" display="http://www.konkoly.hu/cgi-bin/IBVS?6007" xr:uid="{00000000-0004-0000-0100-000018000000}"/>
    <hyperlink ref="P18" r:id="rId26" display="http://var.astro.cz/oejv/issues/oejv0160.pdf" xr:uid="{00000000-0004-0000-0100-000019000000}"/>
    <hyperlink ref="P19" r:id="rId27" display="http://var.astro.cz/oejv/issues/oejv0160.pdf" xr:uid="{00000000-0004-0000-0100-00001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2024-03-03T06:18:54Z</dcterms:modified>
</cp:coreProperties>
</file>