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5FF74A-BE81-4333-AAE2-0DFBBD0FC8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E21" i="1"/>
  <c r="F21" i="1" s="1"/>
  <c r="G21" i="1" s="1"/>
  <c r="I21" i="1" s="1"/>
  <c r="Q22" i="1"/>
  <c r="E23" i="1"/>
  <c r="F23" i="1"/>
  <c r="G23" i="1" s="1"/>
  <c r="K23" i="1" s="1"/>
  <c r="C9" i="1"/>
  <c r="D9" i="1"/>
  <c r="F16" i="1"/>
  <c r="F17" i="1" s="1"/>
  <c r="C17" i="1"/>
  <c r="Q21" i="1"/>
  <c r="E22" i="1"/>
  <c r="F22" i="1" s="1"/>
  <c r="G22" i="1" s="1"/>
  <c r="K22" i="1" s="1"/>
  <c r="C12" i="1"/>
  <c r="C11" i="1"/>
  <c r="O22" i="1" l="1"/>
  <c r="C15" i="1"/>
  <c r="F18" i="1" s="1"/>
  <c r="O21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<sst xmlns="http://schemas.openxmlformats.org/spreadsheetml/2006/main" count="58" uniqueCount="52">
  <si>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</si>
  <si>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</si>
  <si>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</si>
  <si>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</si>
  <si>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</si>
  <si>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</si>
  <si>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</si>
  <si>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</si>
  <si>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</si>
  <si>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</si>
  <si>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</si>
  <si>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</si>
  <si>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</si>
  <si>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</si>
  <si>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</si>
  <si>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</si>
  <si>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</si>
  <si>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</si>
  <si>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</si>
  <si>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</si>
  <si>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</si>
  <si>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</si>
  <si>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</si>
  <si>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</si>
  <si>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</si>
  <si>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</si>
  <si>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</si>
  <si>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</si>
  <si>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</si>
  <si>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</si>
  <si>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</si>
  <si>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</si>
  <si>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</si>
  <si>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</si>
  <si>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</si>
  <si>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</si>
  <si>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</si>
  <si>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</si>
  <si>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</si>
  <si>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</si>
  <si>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</si>
  <si>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</si>
  <si>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V0751 Per</t>
  </si>
  <si>
    <t>G3670-0919</t>
  </si>
  <si>
    <t>EA</t>
  </si>
  <si>
    <t>pr_6</t>
  </si>
  <si>
    <t>~</t>
  </si>
  <si>
    <t>V0751 Per / GSC 3670-0919</t>
  </si>
  <si>
    <t>as of 2017-12-03</t>
  </si>
  <si>
    <t>GCVS</t>
  </si>
  <si>
    <t>I</t>
  </si>
  <si>
    <t>IBVS 6193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</si>
</sst>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V0751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E0-4D4E-A58C-B972044BB8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E0-4D4E-A58C-B972044BB8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E0-4D4E-A58C-B972044BB8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5.3599999999278225E-2</c:v>
                </c:pt>
                <c:pt idx="2">
                  <c:v>6.3199999996868428E-2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E0-4D4E-A58C-B972044BB8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E0-4D4E-A58C-B972044BB8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E0-4D4E-A58C-B972044BB8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E0-4D4E-A58C-B972044BB8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-1.8433969259388366E-4</c:v>
                </c:pt>
                <c:pt idx="1">
                  <c:v>5.5499046643735908E-2</c:v>
                </c:pt>
                <c:pt idx="2">
                  <c:v>6.1485293045004628E-2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E0-4D4E-A58C-B972044BB8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986</c:v>
                </c:pt>
                <c:pt idx="2">
                  <c:v>1092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E0-4D4E-A58C-B972044B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73384"/>
        <c:axId val="1"/>
      </c:scatterChart>
      <c:valAx>
        <c:axId val="924673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7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9CFB59-89C0-A0D8-0B22-0D6ACBD1F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8" t="s">
        <v>42</v>
      </c>
      <c r="G1" s="4">
        <v>2010</v>
      </c>
      <c r="H1" s="9"/>
      <c r="I1" s="10" t="s">
        <v>43</v>
      </c>
      <c r="J1" s="11" t="s">
        <v>42</v>
      </c>
      <c r="K1" s="12">
        <v>1.3053052000000001</v>
      </c>
      <c r="L1" s="6">
        <v>53.253841999999999</v>
      </c>
      <c r="M1" s="7">
        <v>51508.61</v>
      </c>
      <c r="N1" s="7">
        <v>5.9612999999999996</v>
      </c>
      <c r="O1" s="5" t="s">
        <v>44</v>
      </c>
      <c r="P1" s="13">
        <v>11.46</v>
      </c>
      <c r="Q1" s="13">
        <v>11.93</v>
      </c>
      <c r="R1" s="14" t="s">
        <v>45</v>
      </c>
      <c r="S1" s="15" t="s">
        <v>46</v>
      </c>
    </row>
    <row r="2" spans="1:19" s="16" customFormat="1" ht="12.95" customHeight="1" x14ac:dyDescent="0.2">
      <c r="A2" s="16" t="s">
        <v>24</v>
      </c>
      <c r="B2" s="16" t="s">
        <v>44</v>
      </c>
      <c r="C2" s="17"/>
      <c r="D2" s="18"/>
    </row>
    <row r="3" spans="1:19" s="16" customFormat="1" ht="12.95" customHeight="1" thickBot="1" x14ac:dyDescent="0.25">
      <c r="C3" s="19" t="s">
        <v>48</v>
      </c>
    </row>
    <row r="4" spans="1:19" s="16" customFormat="1" ht="12.95" customHeight="1" thickTop="1" thickBot="1" x14ac:dyDescent="0.25">
      <c r="A4" s="20" t="s">
        <v>1</v>
      </c>
      <c r="C4" s="21">
        <v>51508.61</v>
      </c>
      <c r="D4" s="22">
        <v>5.9612999999999996</v>
      </c>
    </row>
    <row r="5" spans="1:19" s="16" customFormat="1" ht="12.95" customHeight="1" thickTop="1" x14ac:dyDescent="0.2">
      <c r="A5" s="23" t="s">
        <v>29</v>
      </c>
      <c r="C5" s="24">
        <v>-9.5</v>
      </c>
      <c r="D5" s="16" t="s">
        <v>30</v>
      </c>
    </row>
    <row r="6" spans="1:19" s="16" customFormat="1" ht="12.95" customHeight="1" x14ac:dyDescent="0.2">
      <c r="A6" s="20" t="s">
        <v>2</v>
      </c>
    </row>
    <row r="7" spans="1:19" s="16" customFormat="1" ht="12.95" customHeight="1" x14ac:dyDescent="0.2">
      <c r="A7" s="16" t="s">
        <v>3</v>
      </c>
      <c r="C7" s="25">
        <v>51508.61</v>
      </c>
      <c r="D7" s="26" t="s">
        <v>49</v>
      </c>
    </row>
    <row r="8" spans="1:19" s="16" customFormat="1" ht="12.95" customHeight="1" x14ac:dyDescent="0.2">
      <c r="A8" s="16" t="s">
        <v>4</v>
      </c>
      <c r="C8" s="25">
        <v>5.9612999999999996</v>
      </c>
      <c r="D8" s="26" t="s">
        <v>49</v>
      </c>
    </row>
    <row r="9" spans="1:19" s="16" customFormat="1" ht="12.95" customHeight="1" x14ac:dyDescent="0.2">
      <c r="A9" s="27" t="s">
        <v>33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19" s="16" customFormat="1" ht="12.95" customHeight="1" thickBot="1" x14ac:dyDescent="0.25">
      <c r="C10" s="31" t="s">
        <v>20</v>
      </c>
      <c r="D10" s="31" t="s">
        <v>21</v>
      </c>
    </row>
    <row r="11" spans="1:19" s="16" customFormat="1" ht="12.95" customHeight="1" x14ac:dyDescent="0.2">
      <c r="A11" s="16" t="s">
        <v>16</v>
      </c>
      <c r="C11" s="30">
        <f ca="1">INTERCEPT(INDIRECT($D$9):G992,INDIRECT($C$9):F992)</f>
        <v>-1.8433969259388366E-4</v>
      </c>
      <c r="D11" s="18"/>
    </row>
    <row r="12" spans="1:19" s="16" customFormat="1" ht="12.95" customHeight="1" x14ac:dyDescent="0.2">
      <c r="A12" s="16" t="s">
        <v>17</v>
      </c>
      <c r="C12" s="30">
        <f ca="1">SLOPE(INDIRECT($D$9):G992,INDIRECT($C$9):F992)</f>
        <v>5.6474022653478494E-5</v>
      </c>
      <c r="D12" s="18"/>
    </row>
    <row r="13" spans="1:19" s="16" customFormat="1" ht="12.95" customHeight="1" x14ac:dyDescent="0.2">
      <c r="A13" s="16" t="s">
        <v>19</v>
      </c>
      <c r="C13" s="18" t="s">
        <v>14</v>
      </c>
    </row>
    <row r="14" spans="1:19" s="16" customFormat="1" ht="12.95" customHeight="1" x14ac:dyDescent="0.2"/>
    <row r="15" spans="1:19" s="16" customFormat="1" ht="12.95" customHeight="1" x14ac:dyDescent="0.2">
      <c r="A15" s="32" t="s">
        <v>18</v>
      </c>
      <c r="C15" s="33">
        <f ca="1">(C7+C11)+(C8+C12)*INT(MAX(F21:F3533))</f>
        <v>58018.411085293046</v>
      </c>
      <c r="E15" s="19" t="s">
        <v>35</v>
      </c>
      <c r="F15" s="28">
        <v>1</v>
      </c>
    </row>
    <row r="16" spans="1:19" s="16" customFormat="1" ht="12.95" customHeight="1" x14ac:dyDescent="0.2">
      <c r="A16" s="20" t="s">
        <v>5</v>
      </c>
      <c r="C16" s="34">
        <f ca="1">+C8+C12</f>
        <v>5.9613564740226535</v>
      </c>
      <c r="E16" s="19" t="s">
        <v>31</v>
      </c>
      <c r="F16" s="34">
        <f ca="1">NOW()+15018.5+$C$5/24</f>
        <v>60372.819062731476</v>
      </c>
    </row>
    <row r="17" spans="1:21" s="16" customFormat="1" ht="12.95" customHeight="1" thickBot="1" x14ac:dyDescent="0.25">
      <c r="A17" s="19" t="s">
        <v>28</v>
      </c>
      <c r="C17" s="16">
        <f>COUNT(C21:C2191)</f>
        <v>3</v>
      </c>
      <c r="E17" s="19" t="s">
        <v>36</v>
      </c>
      <c r="F17" s="35">
        <f ca="1">ROUND(2*(F16-$C$7)/$C$8,0)/2+F15</f>
        <v>1488</v>
      </c>
    </row>
    <row r="18" spans="1:21" s="16" customFormat="1" ht="12.95" customHeight="1" thickTop="1" thickBot="1" x14ac:dyDescent="0.25">
      <c r="A18" s="20" t="s">
        <v>6</v>
      </c>
      <c r="C18" s="36">
        <f ca="1">+C15</f>
        <v>58018.411085293046</v>
      </c>
      <c r="D18" s="37">
        <f ca="1">+C16</f>
        <v>5.9613564740226535</v>
      </c>
      <c r="E18" s="19" t="s">
        <v>37</v>
      </c>
      <c r="F18" s="30">
        <f ca="1">ROUND(2*(F16-$C$15)/$C$16,0)/2+F15</f>
        <v>396</v>
      </c>
    </row>
    <row r="19" spans="1:21" s="16" customFormat="1" ht="12.95" customHeight="1" thickTop="1" x14ac:dyDescent="0.2">
      <c r="E19" s="19" t="s">
        <v>32</v>
      </c>
      <c r="F19" s="38">
        <f ca="1">+$C$15+$C$16*F18-15018.5-$C$5/24</f>
        <v>45361.00408233935</v>
      </c>
    </row>
    <row r="20" spans="1:21" s="16" customFormat="1" ht="12.95" customHeight="1" thickBot="1" x14ac:dyDescent="0.25">
      <c r="A20" s="31" t="s">
        <v>7</v>
      </c>
      <c r="B20" s="31" t="s">
        <v>8</v>
      </c>
      <c r="C20" s="31" t="s">
        <v>9</v>
      </c>
      <c r="D20" s="31" t="s">
        <v>13</v>
      </c>
      <c r="E20" s="31" t="s">
        <v>10</v>
      </c>
      <c r="F20" s="31" t="s">
        <v>11</v>
      </c>
      <c r="G20" s="31" t="s">
        <v>12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31" t="s">
        <v>15</v>
      </c>
      <c r="U20" s="41" t="s">
        <v>34</v>
      </c>
    </row>
    <row r="21" spans="1:21" s="16" customFormat="1" ht="12.95" customHeight="1" x14ac:dyDescent="0.2">
      <c r="A21" s="16" t="s">
        <v>49</v>
      </c>
      <c r="C21" s="42">
        <v>51508.61</v>
      </c>
      <c r="D21" s="42" t="s">
        <v>14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-1.8433969259388366E-4</v>
      </c>
      <c r="Q21" s="43">
        <f>+C21-15018.5</f>
        <v>36490.11</v>
      </c>
    </row>
    <row r="22" spans="1:21" s="16" customFormat="1" ht="12.95" customHeight="1" x14ac:dyDescent="0.2">
      <c r="A22" s="44" t="s">
        <v>51</v>
      </c>
      <c r="B22" s="45" t="s">
        <v>50</v>
      </c>
      <c r="C22" s="46">
        <v>57386.505400000002</v>
      </c>
      <c r="D22" s="46">
        <v>2.9999999999999997E-4</v>
      </c>
      <c r="E22" s="16">
        <f>+(C22-C$7)/C$8</f>
        <v>986.00899132739528</v>
      </c>
      <c r="F22" s="16">
        <f>ROUND(2*E22,0)/2</f>
        <v>986</v>
      </c>
      <c r="G22" s="16">
        <f>+C22-(C$7+F22*C$8)</f>
        <v>5.3599999999278225E-2</v>
      </c>
      <c r="K22" s="16">
        <f>+G22</f>
        <v>5.3599999999278225E-2</v>
      </c>
      <c r="O22" s="16">
        <f ca="1">+C$11+C$12*$F22</f>
        <v>5.5499046643735908E-2</v>
      </c>
      <c r="Q22" s="43">
        <f>+C22-15018.5</f>
        <v>42368.005400000002</v>
      </c>
    </row>
    <row r="23" spans="1:21" s="16" customFormat="1" ht="12.95" customHeight="1" x14ac:dyDescent="0.2">
      <c r="A23" s="47" t="s">
        <v>0</v>
      </c>
      <c r="B23" s="48" t="s">
        <v>50</v>
      </c>
      <c r="C23" s="49">
        <v>58018.412799999998</v>
      </c>
      <c r="D23" s="49">
        <v>1.2999999999999999E-3</v>
      </c>
      <c r="E23" s="16">
        <f>+(C23-C$7)/C$8</f>
        <v>1092.0106017143908</v>
      </c>
      <c r="F23" s="16">
        <f>ROUND(2*E23,0)/2</f>
        <v>1092</v>
      </c>
      <c r="G23" s="16">
        <f>+C23-(C$7+F23*C$8)</f>
        <v>6.3199999996868428E-2</v>
      </c>
      <c r="K23" s="16">
        <f>+G23</f>
        <v>6.3199999996868428E-2</v>
      </c>
      <c r="O23" s="16">
        <f ca="1">+C$11+C$12*$F23</f>
        <v>6.1485293045004628E-2</v>
      </c>
      <c r="Q23" s="43">
        <f>+C23-15018.5</f>
        <v>42999.912799999998</v>
      </c>
    </row>
    <row r="24" spans="1:21" s="16" customFormat="1" ht="12.95" customHeight="1" x14ac:dyDescent="0.2">
      <c r="C24" s="42"/>
      <c r="D24" s="42"/>
      <c r="Q24" s="43"/>
    </row>
    <row r="25" spans="1:21" s="16" customFormat="1" ht="12.95" customHeight="1" x14ac:dyDescent="0.2">
      <c r="C25" s="42"/>
      <c r="D25" s="42"/>
      <c r="Q25" s="43"/>
    </row>
    <row r="26" spans="1:21" s="16" customFormat="1" ht="12.95" customHeight="1" x14ac:dyDescent="0.2">
      <c r="C26" s="42"/>
      <c r="D26" s="42"/>
      <c r="Q26" s="43"/>
    </row>
    <row r="27" spans="1:21" s="16" customFormat="1" ht="12.95" customHeight="1" x14ac:dyDescent="0.2">
      <c r="C27" s="42"/>
      <c r="D27" s="42"/>
      <c r="Q27" s="43"/>
    </row>
    <row r="28" spans="1:21" s="16" customFormat="1" ht="12.95" customHeight="1" x14ac:dyDescent="0.2">
      <c r="C28" s="42"/>
      <c r="D28" s="42"/>
      <c r="Q28" s="43"/>
    </row>
    <row r="29" spans="1:21" s="16" customFormat="1" ht="12.95" customHeight="1" x14ac:dyDescent="0.2">
      <c r="C29" s="42"/>
      <c r="D29" s="42"/>
      <c r="Q29" s="43"/>
    </row>
    <row r="30" spans="1:21" s="16" customFormat="1" ht="12.95" customHeight="1" x14ac:dyDescent="0.2">
      <c r="C30" s="42"/>
      <c r="D30" s="42"/>
      <c r="Q30" s="43"/>
    </row>
    <row r="31" spans="1:21" s="16" customFormat="1" ht="12.95" customHeight="1" x14ac:dyDescent="0.2">
      <c r="C31" s="42"/>
      <c r="D31" s="42"/>
      <c r="Q31" s="43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3291" r:id="rId1" display="http://vsolj.cetus-net.org/bulletin.html"/>
    <hyperlink ref="H63284" r:id="rId2" display="https://www.aavso.org/ejaavso"/>
    <hyperlink ref="I63291" r:id="rId3" display="http://vsolj.cetus-net.org/bulletin.html"/>
    <hyperlink ref="AQ56942" r:id="rId4" display="http://cdsbib.u-strasbg.fr/cgi-bin/cdsbib?1990RMxAA..21..381G"/>
    <hyperlink ref="H63288" r:id="rId5" display="https://www.aavso.org/ejaavso"/>
    <hyperlink ref="AP4306" r:id="rId6" display="http://cdsbib.u-strasbg.fr/cgi-bin/cdsbib?1990RMxAA..21..381G"/>
    <hyperlink ref="AP4309" r:id="rId7" display="http://cdsbib.u-strasbg.fr/cgi-bin/cdsbib?1990RMxAA..21..381G"/>
    <hyperlink ref="AP4307" r:id="rId8" display="http://cdsbib.u-strasbg.fr/cgi-bin/cdsbib?1990RMxAA..21..381G"/>
    <hyperlink ref="AP4291" r:id="rId9" display="http://cdsbib.u-strasbg.fr/cgi-bin/cdsbib?1990RMxAA..21..381G"/>
    <hyperlink ref="AQ4520" r:id="rId10" display="http://cdsbib.u-strasbg.fr/cgi-bin/cdsbib?1990RMxAA..21..381G"/>
    <hyperlink ref="AQ4524" r:id="rId11" display="http://cdsbib.u-strasbg.fr/cgi-bin/cdsbib?1990RMxAA..21..381G"/>
    <hyperlink ref="AQ64204" r:id="rId12" display="http://cdsbib.u-strasbg.fr/cgi-bin/cdsbib?1990RMxAA..21..381G"/>
    <hyperlink ref="I1412" r:id="rId13" display="http://vsolj.cetus-net.org/bulletin.html"/>
    <hyperlink ref="H1412" r:id="rId14" display="http://vsolj.cetus-net.org/bulletin.html"/>
    <hyperlink ref="AQ64865" r:id="rId15" display="http://cdsbib.u-strasbg.fr/cgi-bin/cdsbib?1990RMxAA..21..381G"/>
    <hyperlink ref="AQ64864" r:id="rId16" display="http://cdsbib.u-strasbg.fr/cgi-bin/cdsbib?1990RMxAA..21..381G"/>
    <hyperlink ref="AP2582" r:id="rId17" display="http://cdsbib.u-strasbg.fr/cgi-bin/cdsbib?1990RMxAA..21..381G"/>
    <hyperlink ref="AP2600" r:id="rId18" display="http://cdsbib.u-strasbg.fr/cgi-bin/cdsbib?1990RMxAA..21..381G"/>
    <hyperlink ref="AP2601" r:id="rId19" display="http://cdsbib.u-strasbg.fr/cgi-bin/cdsbib?1990RMxAA..21..381G"/>
    <hyperlink ref="AP259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2024-03-03T06:39:27Z</dcterms:modified>
</cp:coreProperties>
</file>