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00A426B-5B3C-4283-83B7-39159DB3CA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K23" i="1"/>
  <c r="Q22" i="1"/>
  <c r="Q23" i="1"/>
  <c r="D9" i="1"/>
  <c r="C21" i="1"/>
  <c r="E21" i="1"/>
  <c r="F21" i="1"/>
  <c r="E9" i="1"/>
  <c r="A21" i="1"/>
  <c r="F16" i="1"/>
  <c r="F17" i="1" s="1"/>
  <c r="C17" i="1"/>
  <c r="Q21" i="1"/>
  <c r="G21" i="1"/>
  <c r="I21" i="1"/>
  <c r="C12" i="1"/>
  <c r="C11" i="1"/>
  <c r="O23" i="1" l="1"/>
  <c r="O22" i="1"/>
  <c r="C15" i="1"/>
  <c r="F18" i="1" s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<sst xmlns="http://schemas.openxmlformats.org/spreadsheetml/2006/main" count="58" uniqueCount="52">
  <si>
    <t>JAVSO..45..121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</si>
  <si>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</si>
  <si>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</si>
  <si>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</si>
  <si>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</si>
  <si>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</si>
  <si>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</si>
  <si>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</si>
  <si>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</si>
  <si>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</si>
  <si>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</si>
  <si>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</si>
  <si>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</si>
  <si>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</si>
  <si>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</si>
  <si>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</si>
  <si>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</si>
  <si>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</si>
  <si>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</si>
  <si>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</si>
  <si>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</si>
  <si>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</si>
  <si>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</si>
  <si>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</si>
  <si>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</si>
  <si>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</si>
  <si>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</si>
  <si>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</si>
  <si>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</si>
  <si>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</si>
  <si>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</si>
  <si>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</si>
  <si>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</si>
  <si>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</si>
  <si>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</si>
  <si>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</si>
  <si>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</si>
  <si>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</si>
  <si>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</si>
  <si>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</si>
  <si>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</si>
  <si>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</si>
  <si>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</si>
  <si>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V0996 Per</t>
  </si>
  <si>
    <t>2018B</t>
  </si>
  <si>
    <t>EW</t>
  </si>
  <si>
    <t>pr_0</t>
  </si>
  <si>
    <t>---</t>
  </si>
  <si>
    <t>V0996 Per / GSC na</t>
  </si>
  <si>
    <t>VSX</t>
  </si>
  <si>
    <t>GCVS</t>
  </si>
  <si>
    <t>as of 2019-07-07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</si>
</sst>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24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V0996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C8-4591-8E8F-1E3757D20C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7.9999997979030013E-5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C8-4591-8E8F-1E3757D20C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C8-4591-8E8F-1E3757D20C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-3.05000000007567E-2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C8-4591-8E8F-1E3757D20C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C8-4591-8E8F-1E3757D20C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C8-4591-8E8F-1E3757D20C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C8-4591-8E8F-1E3757D20C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4.1259288269277807E-4</c:v>
                </c:pt>
                <c:pt idx="1">
                  <c:v>-3.4293313362264292E-4</c:v>
                </c:pt>
                <c:pt idx="2">
                  <c:v>-3.0489659751847802E-2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C8-4591-8E8F-1E3757D20CD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</c:v>
                </c:pt>
                <c:pt idx="2">
                  <c:v>4990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C8-4591-8E8F-1E3757D2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267104"/>
        <c:axId val="1"/>
      </c:scatterChart>
      <c:valAx>
        <c:axId val="93026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26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DE05CF-1634-E866-48FB-DE8223F20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6" t="s">
        <v>43</v>
      </c>
      <c r="G1" s="4" t="s">
        <v>44</v>
      </c>
      <c r="H1" s="5"/>
      <c r="I1" s="7" t="s">
        <v>15</v>
      </c>
      <c r="J1" s="6" t="s">
        <v>43</v>
      </c>
      <c r="K1" s="8">
        <v>3.0030999999999999</v>
      </c>
      <c r="L1" s="8">
        <v>37.590800000000002</v>
      </c>
      <c r="M1" s="9">
        <v>55819.502699999997</v>
      </c>
      <c r="N1" s="9">
        <v>0.38801000000000002</v>
      </c>
      <c r="O1" s="10" t="s">
        <v>45</v>
      </c>
      <c r="P1" s="10">
        <v>14.2</v>
      </c>
      <c r="Q1" s="10">
        <v>14.74</v>
      </c>
      <c r="R1" s="11" t="s">
        <v>46</v>
      </c>
      <c r="S1" s="12" t="s">
        <v>47</v>
      </c>
    </row>
    <row r="2" spans="1:19" s="15" customFormat="1" ht="12.95" customHeight="1" x14ac:dyDescent="0.2">
      <c r="A2" s="15" t="s">
        <v>25</v>
      </c>
      <c r="B2" s="15" t="s">
        <v>45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2</v>
      </c>
      <c r="C4" s="19">
        <v>55866.84</v>
      </c>
      <c r="D4" s="20">
        <v>0.38801000000000002</v>
      </c>
      <c r="E4" s="21" t="s">
        <v>51</v>
      </c>
    </row>
    <row r="5" spans="1:19" s="15" customFormat="1" ht="12.95" customHeight="1" thickTop="1" x14ac:dyDescent="0.2">
      <c r="A5" s="22" t="s">
        <v>30</v>
      </c>
      <c r="C5" s="23">
        <v>-9.5</v>
      </c>
      <c r="D5" s="15" t="s">
        <v>31</v>
      </c>
    </row>
    <row r="6" spans="1:19" s="15" customFormat="1" ht="12.95" customHeight="1" x14ac:dyDescent="0.2">
      <c r="A6" s="18" t="s">
        <v>3</v>
      </c>
    </row>
    <row r="7" spans="1:19" s="15" customFormat="1" ht="12.95" customHeight="1" x14ac:dyDescent="0.2">
      <c r="A7" s="15" t="s">
        <v>4</v>
      </c>
      <c r="C7" s="44">
        <v>55819.502699999997</v>
      </c>
      <c r="D7" s="25" t="s">
        <v>49</v>
      </c>
    </row>
    <row r="8" spans="1:19" s="15" customFormat="1" ht="12.95" customHeight="1" x14ac:dyDescent="0.2">
      <c r="A8" s="15" t="s">
        <v>5</v>
      </c>
      <c r="C8" s="44">
        <v>0.38801000000000002</v>
      </c>
      <c r="D8" s="25" t="s">
        <v>49</v>
      </c>
    </row>
    <row r="9" spans="1:19" s="15" customFormat="1" ht="12.95" customHeight="1" x14ac:dyDescent="0.2">
      <c r="A9" s="26" t="s">
        <v>34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19" s="15" customFormat="1" ht="12.95" customHeight="1" thickBot="1" x14ac:dyDescent="0.25">
      <c r="C10" s="30" t="s">
        <v>21</v>
      </c>
      <c r="D10" s="30" t="s">
        <v>22</v>
      </c>
    </row>
    <row r="11" spans="1:19" s="15" customFormat="1" ht="12.95" customHeight="1" x14ac:dyDescent="0.2">
      <c r="A11" s="15" t="s">
        <v>17</v>
      </c>
      <c r="C11" s="29">
        <f ca="1">INTERCEPT(INDIRECT($E$9):G992,INDIRECT($D$9):F992)</f>
        <v>4.1259288269277807E-4</v>
      </c>
      <c r="D11" s="17"/>
    </row>
    <row r="12" spans="1:19" s="15" customFormat="1" ht="12.95" customHeight="1" x14ac:dyDescent="0.2">
      <c r="A12" s="15" t="s">
        <v>18</v>
      </c>
      <c r="C12" s="29">
        <f ca="1">SLOPE(INDIRECT($E$9):G992,INDIRECT($D$9):F992)</f>
        <v>-6.1928361993067292E-6</v>
      </c>
      <c r="D12" s="17"/>
    </row>
    <row r="13" spans="1:19" s="15" customFormat="1" ht="12.95" customHeight="1" x14ac:dyDescent="0.2">
      <c r="A13" s="15" t="s">
        <v>20</v>
      </c>
      <c r="C13" s="17" t="s">
        <v>15</v>
      </c>
    </row>
    <row r="14" spans="1:19" s="15" customFormat="1" ht="12.95" customHeight="1" x14ac:dyDescent="0.2"/>
    <row r="15" spans="1:19" s="15" customFormat="1" ht="12.95" customHeight="1" x14ac:dyDescent="0.2">
      <c r="A15" s="31" t="s">
        <v>19</v>
      </c>
      <c r="C15" s="32">
        <f ca="1">(C7+C11)+(C8+C12)*INT(MAX(F21:F3533))</f>
        <v>57755.642110340246</v>
      </c>
      <c r="E15" s="33" t="s">
        <v>36</v>
      </c>
      <c r="F15" s="34">
        <v>1</v>
      </c>
    </row>
    <row r="16" spans="1:19" s="15" customFormat="1" ht="12.95" customHeight="1" x14ac:dyDescent="0.2">
      <c r="A16" s="18" t="s">
        <v>6</v>
      </c>
      <c r="C16" s="35">
        <f ca="1">+C8+C12</f>
        <v>0.38800380716380073</v>
      </c>
      <c r="E16" s="33" t="s">
        <v>32</v>
      </c>
      <c r="F16" s="35">
        <f ca="1">NOW()+15018.5+$C$5/24</f>
        <v>60372.839931249997</v>
      </c>
    </row>
    <row r="17" spans="1:21" s="15" customFormat="1" ht="12.95" customHeight="1" thickBot="1" x14ac:dyDescent="0.25">
      <c r="A17" s="33" t="s">
        <v>29</v>
      </c>
      <c r="C17" s="15">
        <f>COUNT(C21:C2191)</f>
        <v>3</v>
      </c>
      <c r="E17" s="33" t="s">
        <v>37</v>
      </c>
      <c r="F17" s="36">
        <f ca="1">ROUND(2*(F16-$C$7)/$C$8,0)/2+F15</f>
        <v>11736</v>
      </c>
    </row>
    <row r="18" spans="1:21" s="15" customFormat="1" ht="12.95" customHeight="1" thickTop="1" thickBot="1" x14ac:dyDescent="0.25">
      <c r="A18" s="18" t="s">
        <v>7</v>
      </c>
      <c r="C18" s="37">
        <f ca="1">+C15</f>
        <v>57755.642110340246</v>
      </c>
      <c r="D18" s="38">
        <f ca="1">+C16</f>
        <v>0.38800380716380073</v>
      </c>
      <c r="E18" s="33" t="s">
        <v>38</v>
      </c>
      <c r="F18" s="29">
        <f ca="1">ROUND(2*(F16-$C$15)/$C$16,0)/2+F15</f>
        <v>6746.5</v>
      </c>
    </row>
    <row r="19" spans="1:21" s="15" customFormat="1" ht="12.95" customHeight="1" thickTop="1" x14ac:dyDescent="0.2">
      <c r="E19" s="33" t="s">
        <v>33</v>
      </c>
      <c r="F19" s="39">
        <f ca="1">+$C$15+$C$16*F18-15018.5-$C$5/24</f>
        <v>45355.205628704163</v>
      </c>
    </row>
    <row r="20" spans="1:21" s="15" customFormat="1" ht="12.95" customHeight="1" thickBot="1" x14ac:dyDescent="0.25">
      <c r="A20" s="30" t="s">
        <v>8</v>
      </c>
      <c r="B20" s="30" t="s">
        <v>9</v>
      </c>
      <c r="C20" s="30" t="s">
        <v>10</v>
      </c>
      <c r="D20" s="30" t="s">
        <v>14</v>
      </c>
      <c r="E20" s="30" t="s">
        <v>11</v>
      </c>
      <c r="F20" s="30" t="s">
        <v>12</v>
      </c>
      <c r="G20" s="30" t="s">
        <v>13</v>
      </c>
      <c r="H20" s="40" t="s">
        <v>39</v>
      </c>
      <c r="I20" s="40" t="s">
        <v>40</v>
      </c>
      <c r="J20" s="40" t="s">
        <v>41</v>
      </c>
      <c r="K20" s="40" t="s">
        <v>42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30" t="s">
        <v>16</v>
      </c>
      <c r="U20" s="42" t="s">
        <v>35</v>
      </c>
    </row>
    <row r="21" spans="1:21" s="15" customFormat="1" ht="12.95" customHeight="1" x14ac:dyDescent="0.2">
      <c r="A21" s="15" t="str">
        <f>D7</f>
        <v>VSX</v>
      </c>
      <c r="C21" s="24">
        <f>C$7</f>
        <v>55819.502699999997</v>
      </c>
      <c r="D21" s="24" t="s">
        <v>15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4.1259288269277807E-4</v>
      </c>
      <c r="Q21" s="43">
        <f>+C21-15018.5</f>
        <v>40801.002699999997</v>
      </c>
    </row>
    <row r="22" spans="1:21" s="15" customFormat="1" ht="12.95" customHeight="1" x14ac:dyDescent="0.2">
      <c r="A22" s="15" t="s">
        <v>50</v>
      </c>
      <c r="C22" s="24">
        <v>55866.84</v>
      </c>
      <c r="D22" s="24" t="s">
        <v>15</v>
      </c>
      <c r="E22" s="15">
        <f>+(C22-C$7)/C$8</f>
        <v>122.0002061802511</v>
      </c>
      <c r="F22" s="15">
        <f>ROUND(2*E22,0)/2</f>
        <v>122</v>
      </c>
      <c r="G22" s="15">
        <f>+C22-(C$7+F22*C$8)</f>
        <v>7.9999997979030013E-5</v>
      </c>
      <c r="I22" s="15">
        <f>+G22</f>
        <v>7.9999997979030013E-5</v>
      </c>
      <c r="O22" s="15">
        <f ca="1">+C$11+C$12*$F22</f>
        <v>-3.4293313362264292E-4</v>
      </c>
      <c r="Q22" s="43">
        <f>+C22-15018.5</f>
        <v>40848.339999999997</v>
      </c>
    </row>
    <row r="23" spans="1:21" s="15" customFormat="1" ht="12.95" customHeight="1" x14ac:dyDescent="0.2">
      <c r="A23" s="13" t="s">
        <v>0</v>
      </c>
      <c r="B23" s="14" t="s">
        <v>1</v>
      </c>
      <c r="C23" s="13">
        <v>57755.642099999997</v>
      </c>
      <c r="D23" s="13">
        <v>2.9999999999999997E-4</v>
      </c>
      <c r="E23" s="15">
        <f>+(C23-C$7)/C$8</f>
        <v>4989.9213937785107</v>
      </c>
      <c r="F23" s="15">
        <f>ROUND(2*E23,0)/2</f>
        <v>4990</v>
      </c>
      <c r="G23" s="15">
        <f>+C23-(C$7+F23*C$8)</f>
        <v>-3.05000000007567E-2</v>
      </c>
      <c r="K23" s="15">
        <f>+G23</f>
        <v>-3.05000000007567E-2</v>
      </c>
      <c r="O23" s="15">
        <f ca="1">+C$11+C$12*$F23</f>
        <v>-3.0489659751847802E-2</v>
      </c>
      <c r="Q23" s="43">
        <f>+C23-15018.5</f>
        <v>42737.142099999997</v>
      </c>
    </row>
    <row r="24" spans="1:21" s="15" customFormat="1" ht="12.95" customHeight="1" x14ac:dyDescent="0.2">
      <c r="C24" s="24"/>
      <c r="D24" s="24"/>
      <c r="Q24" s="43"/>
    </row>
    <row r="25" spans="1:21" s="15" customFormat="1" ht="12.95" customHeight="1" x14ac:dyDescent="0.2">
      <c r="C25" s="24"/>
      <c r="D25" s="24"/>
      <c r="Q25" s="43"/>
    </row>
    <row r="26" spans="1:21" s="15" customFormat="1" ht="12.95" customHeight="1" x14ac:dyDescent="0.2">
      <c r="C26" s="24"/>
      <c r="D26" s="24"/>
      <c r="Q26" s="43"/>
    </row>
    <row r="27" spans="1:21" s="15" customFormat="1" ht="12.95" customHeight="1" x14ac:dyDescent="0.2">
      <c r="C27" s="24"/>
      <c r="D27" s="24"/>
      <c r="Q27" s="43"/>
    </row>
    <row r="28" spans="1:21" s="15" customFormat="1" ht="12.95" customHeight="1" x14ac:dyDescent="0.2">
      <c r="C28" s="24"/>
      <c r="D28" s="24"/>
      <c r="Q28" s="43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hyperlinks>
    <hyperlink ref="H63270" r:id="rId1" display="http://vsolj.cetus-net.org/bulletin.html"/>
    <hyperlink ref="H63263" r:id="rId2" display="https://www.aavso.org/ejaavso"/>
    <hyperlink ref="I63270" r:id="rId3" display="http://vsolj.cetus-net.org/bulletin.html"/>
    <hyperlink ref="AQ56921" r:id="rId4" display="http://cdsbib.u-strasbg.fr/cgi-bin/cdsbib?1990RMxAA..21..381G"/>
    <hyperlink ref="H63267" r:id="rId5" display="https://www.aavso.org/ejaavso"/>
    <hyperlink ref="AP4285" r:id="rId6" display="http://cdsbib.u-strasbg.fr/cgi-bin/cdsbib?1990RMxAA..21..381G"/>
    <hyperlink ref="AP4288" r:id="rId7" display="http://cdsbib.u-strasbg.fr/cgi-bin/cdsbib?1990RMxAA..21..381G"/>
    <hyperlink ref="AP4286" r:id="rId8" display="http://cdsbib.u-strasbg.fr/cgi-bin/cdsbib?1990RMxAA..21..381G"/>
    <hyperlink ref="AP4270" r:id="rId9" display="http://cdsbib.u-strasbg.fr/cgi-bin/cdsbib?1990RMxAA..21..381G"/>
    <hyperlink ref="AQ4499" r:id="rId10" display="http://cdsbib.u-strasbg.fr/cgi-bin/cdsbib?1990RMxAA..21..381G"/>
    <hyperlink ref="AQ4503" r:id="rId11" display="http://cdsbib.u-strasbg.fr/cgi-bin/cdsbib?1990RMxAA..21..381G"/>
    <hyperlink ref="AQ64183" r:id="rId12" display="http://cdsbib.u-strasbg.fr/cgi-bin/cdsbib?1990RMxAA..21..381G"/>
    <hyperlink ref="I1391" r:id="rId13" display="http://vsolj.cetus-net.org/bulletin.html"/>
    <hyperlink ref="H1391" r:id="rId14" display="http://vsolj.cetus-net.org/bulletin.html"/>
    <hyperlink ref="AQ64844" r:id="rId15" display="http://cdsbib.u-strasbg.fr/cgi-bin/cdsbib?1990RMxAA..21..381G"/>
    <hyperlink ref="AQ64843" r:id="rId16" display="http://cdsbib.u-strasbg.fr/cgi-bin/cdsbib?1990RMxAA..21..381G"/>
    <hyperlink ref="AP2561" r:id="rId17" display="http://cdsbib.u-strasbg.fr/cgi-bin/cdsbib?1990RMxAA..21..381G"/>
    <hyperlink ref="AP2579" r:id="rId18" display="http://cdsbib.u-strasbg.fr/cgi-bin/cdsbib?1990RMxAA..21..381G"/>
    <hyperlink ref="AP2580" r:id="rId19" display="http://cdsbib.u-strasbg.fr/cgi-bin/cdsbib?1990RMxAA..21..381G"/>
    <hyperlink ref="AP25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2024-03-03T07:09:30Z</dcterms:modified>
</cp:coreProperties>
</file>