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063D17E-890E-4BB6-8488-F62D589415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I21" i="1" s="1"/>
  <c r="Q21" i="1"/>
  <c r="E23" i="1"/>
  <c r="F23" i="1" s="1"/>
  <c r="G23" i="1" s="1"/>
  <c r="K23" i="1" s="1"/>
  <c r="Q23" i="1"/>
  <c r="C21" i="1"/>
  <c r="A21" i="1"/>
  <c r="F14" i="1"/>
  <c r="F15" i="1" l="1"/>
  <c r="B2" i="1" l="1"/>
  <c r="A1" i="1"/>
  <c r="C9" i="1"/>
  <c r="E22" i="1"/>
  <c r="F22" i="1" s="1"/>
  <c r="G22" i="1" s="1"/>
  <c r="K22" i="1" s="1"/>
  <c r="D9" i="1"/>
  <c r="C17" i="1"/>
  <c r="Q22" i="1"/>
  <c r="C11" i="1"/>
  <c r="C12" i="1"/>
  <c r="O21" i="1" l="1"/>
  <c r="O23" i="1"/>
  <c r="C16" i="1"/>
  <c r="D18" i="1" s="1"/>
  <c r="O22" i="1"/>
  <c r="C15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<sst xmlns="http://schemas.openxmlformats.org/spreadsheetml/2006/main" count="58" uniqueCount="54">
  <si>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</si>
  <si>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</si>
  <si>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</si>
  <si>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</si>
  <si>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</si>
  <si>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</si>
  <si>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</si>
  <si>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</si>
  <si>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</si>
  <si>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</si>
  <si>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</si>
  <si>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</si>
  <si>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</si>
  <si>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</si>
  <si>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</si>
  <si>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</si>
  <si>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</si>
  <si>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</si>
  <si>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</si>
  <si>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</si>
  <si>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</si>
  <si>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</si>
  <si>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</si>
  <si>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</si>
  <si>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</si>
  <si>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</si>
  <si>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</si>
  <si>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</si>
  <si>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</si>
  <si>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</si>
  <si>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</si>
  <si>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</si>
  <si>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</si>
  <si>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</si>
  <si>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</si>
  <si>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</si>
  <si>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</si>
  <si>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</si>
  <si>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</si>
  <si>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</si>
  <si>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WW Phe</t>
  </si>
  <si>
    <t>G7547-0142</t>
  </si>
  <si>
    <t>EA</t>
  </si>
  <si>
    <t>pr_0</t>
  </si>
  <si>
    <t>~</t>
  </si>
  <si>
    <t>as of 2017-12-04</t>
  </si>
  <si>
    <t>Kreiner</t>
  </si>
  <si>
    <t>I</t>
  </si>
  <si>
    <t>OEJV 0179</t>
  </si>
  <si>
    <t xml:space="preserve">Mag </t>
  </si>
  <si>
    <t>Next ToM-P</t>
  </si>
  <si>
    <t>Next ToM-S</t>
  </si>
  <si>
    <t>VSX</t>
  </si>
  <si>
    <t>12.70-13.50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</si>
</sst>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6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5" fillId="25" borderId="5" xfId="0" applyFont="1" applyFill="1" applyBorder="1" applyAlignment="1">
      <alignment horizontal="left" vertical="center"/>
    </xf>
    <xf numFmtId="0" fontId="5" fillId="0" borderId="11" xfId="0" applyFont="1" applyBorder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5" xfId="0" quotePrefix="1" applyBorder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  <xf numFmtId="0" fontId="0" fillId="0" borderId="0" xfId="0" applyAlignment="1">
      <alignment horizontal="right"/>
    </xf>
    <xf numFmtId="0" fontId="16" fillId="0" borderId="12" xfId="0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6" borderId="16" xfId="0" applyFill="1" applyBorder="1" applyAlignment="1">
      <alignment horizontal="right" vertical="center"/>
    </xf>
    <xf numFmtId="0" fontId="0" fillId="26" borderId="17" xfId="0" applyFill="1" applyBorder="1" applyAlignment="1">
      <alignment horizontal="center" vertical="center"/>
    </xf>
    <xf numFmtId="0" fontId="34" fillId="0" borderId="18" xfId="0" applyFont="1" applyBorder="1" applyAlignment="1">
      <alignment horizontal="right" vertical="center"/>
    </xf>
    <xf numFmtId="0" fontId="35" fillId="0" borderId="19" xfId="0" applyFont="1" applyBorder="1" applyAlignment="1">
      <alignment horizontal="right" vertical="center"/>
    </xf>
    <xf numFmtId="0" fontId="36" fillId="0" borderId="19" xfId="0" applyFont="1" applyBorder="1" applyAlignment="1">
      <alignment horizontal="right" vertical="center"/>
    </xf>
    <xf numFmtId="22" fontId="36" fillId="0" borderId="19" xfId="0" applyNumberFormat="1" applyFont="1" applyBorder="1" applyAlignment="1">
      <alignment horizontal="right" vertical="center"/>
    </xf>
    <xf numFmtId="22" fontId="36" fillId="0" borderId="20" xfId="0" applyNumberFormat="1" applyFont="1" applyBorder="1" applyAlignment="1">
      <alignment horizontal="right" vertical="center"/>
    </xf>
    <xf numFmtId="0" fontId="34" fillId="0" borderId="21" xfId="0" applyFont="1" applyBorder="1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_1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WW Phe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35127795846455"/>
          <c:w val="0.8300751879699248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C4-4AC3-9E75-B5112AC5FAE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0C4-4AC3-9E75-B5112AC5FAE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0C4-4AC3-9E75-B5112AC5FAE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-3.0640000040875748E-3</c:v>
                </c:pt>
                <c:pt idx="2">
                  <c:v>9.2877000002772547E-2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0C4-4AC3-9E75-B5112AC5FAE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0C4-4AC3-9E75-B5112AC5FAE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0C4-4AC3-9E75-B5112AC5FAE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0C4-4AC3-9E75-B5112AC5FAE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-1.0077602813949073E-2</c:v>
                </c:pt>
                <c:pt idx="1">
                  <c:v>4.2478184574212784E-2</c:v>
                </c:pt>
                <c:pt idx="2">
                  <c:v>5.7412418238421255E-2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0C4-4AC3-9E75-B5112AC5FAE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21824</c:v>
                </c:pt>
                <c:pt idx="2">
                  <c:v>28025.5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0C4-4AC3-9E75-B5112AC5FA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2871912"/>
        <c:axId val="1"/>
      </c:scatterChart>
      <c:valAx>
        <c:axId val="542871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2871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2C40953-C5E6-DD22-66BE-6B91EEF86D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4" sqref="F4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tr">
        <f>F1&amp;" / GSC "&amp;RIGHT(I1,9)</f>
        <v>WW Phe / GSC 7547-0142</v>
      </c>
      <c r="F1" s="35" t="s">
        <v>40</v>
      </c>
      <c r="G1" s="29">
        <v>0</v>
      </c>
      <c r="H1" s="30"/>
      <c r="I1" s="36" t="s">
        <v>41</v>
      </c>
      <c r="J1" s="37" t="s">
        <v>40</v>
      </c>
      <c r="K1" s="38">
        <v>1.3106799999999998</v>
      </c>
      <c r="L1" s="32">
        <v>-43.593499999999999</v>
      </c>
      <c r="M1" s="33">
        <v>52500.233999999997</v>
      </c>
      <c r="N1" s="33">
        <v>0.71988540000000001</v>
      </c>
      <c r="O1" s="31" t="s">
        <v>42</v>
      </c>
      <c r="P1" s="32">
        <v>12.4</v>
      </c>
      <c r="Q1" s="32">
        <v>13.2</v>
      </c>
      <c r="R1" s="39" t="s">
        <v>43</v>
      </c>
      <c r="S1" s="40" t="s">
        <v>44</v>
      </c>
    </row>
    <row r="2" spans="1:19" x14ac:dyDescent="0.2">
      <c r="A2" t="s">
        <v>23</v>
      </c>
      <c r="B2" t="str">
        <f>O1</f>
        <v>EA</v>
      </c>
      <c r="C2" s="28"/>
      <c r="D2" s="3"/>
    </row>
    <row r="3" spans="1:19" ht="13.5" thickBot="1" x14ac:dyDescent="0.25">
      <c r="C3" t="s">
        <v>45</v>
      </c>
    </row>
    <row r="4" spans="1:19" ht="14.25" thickTop="1" thickBot="1" x14ac:dyDescent="0.25">
      <c r="A4" s="5" t="s">
        <v>0</v>
      </c>
      <c r="C4" s="25">
        <v>36789.445</v>
      </c>
      <c r="D4" s="26">
        <v>0.72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  <c r="E6" s="46" t="s">
        <v>46</v>
      </c>
    </row>
    <row r="7" spans="1:19" x14ac:dyDescent="0.2">
      <c r="A7" t="s">
        <v>2</v>
      </c>
      <c r="C7" s="44">
        <v>36789.445</v>
      </c>
      <c r="D7" s="45" t="s">
        <v>52</v>
      </c>
      <c r="E7" s="47">
        <v>52500.233999999997</v>
      </c>
    </row>
    <row r="8" spans="1:19" x14ac:dyDescent="0.2">
      <c r="A8" t="s">
        <v>3</v>
      </c>
      <c r="C8" s="44">
        <v>0.71988600000000003</v>
      </c>
      <c r="D8" s="27" t="s">
        <v>52</v>
      </c>
      <c r="E8" s="48">
        <v>0.71988540000000001</v>
      </c>
    </row>
    <row r="9" spans="1:19" x14ac:dyDescent="0.2">
      <c r="A9" s="23" t="s">
        <v>31</v>
      </c>
      <c r="B9" s="34">
        <v>21</v>
      </c>
      <c r="C9" s="21" t="str">
        <f>"F"&amp;B9</f>
        <v>F21</v>
      </c>
      <c r="D9" s="22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0">
        <f ca="1">INTERCEPT(INDIRECT($D$9):G992,INDIRECT($C$9):F992)</f>
        <v>-1.0077602813949073E-2</v>
      </c>
      <c r="D11" s="3"/>
      <c r="E11" s="10"/>
    </row>
    <row r="12" spans="1:19" x14ac:dyDescent="0.2">
      <c r="A12" s="10" t="s">
        <v>16</v>
      </c>
      <c r="B12" s="10"/>
      <c r="C12" s="20">
        <f ca="1">SLOPE(INDIRECT($D$9):G992,INDIRECT($C$9):F992)</f>
        <v>2.408164744692167E-6</v>
      </c>
      <c r="D12" s="3"/>
      <c r="E12" s="49" t="s">
        <v>49</v>
      </c>
      <c r="F12" s="50" t="s">
        <v>53</v>
      </c>
    </row>
    <row r="13" spans="1:19" x14ac:dyDescent="0.2">
      <c r="A13" s="10" t="s">
        <v>18</v>
      </c>
      <c r="B13" s="10"/>
      <c r="C13" s="3" t="s">
        <v>13</v>
      </c>
      <c r="E13" s="51" t="s">
        <v>33</v>
      </c>
      <c r="F13" s="52">
        <v>1</v>
      </c>
    </row>
    <row r="14" spans="1:19" x14ac:dyDescent="0.2">
      <c r="A14" s="10"/>
      <c r="B14" s="10"/>
      <c r="C14" s="10"/>
      <c r="E14" s="51" t="s">
        <v>30</v>
      </c>
      <c r="F14" s="53">
        <f ca="1">NOW()+15018.5+$C$5/24</f>
        <v>60520.847949421295</v>
      </c>
    </row>
    <row r="15" spans="1:19" x14ac:dyDescent="0.2">
      <c r="A15" s="12" t="s">
        <v>17</v>
      </c>
      <c r="B15" s="10"/>
      <c r="C15" s="13">
        <f ca="1">(C7+C11)+(C8+C12)*INT(MAX(F21:F3533))</f>
        <v>56964.307561214155</v>
      </c>
      <c r="E15" s="51" t="s">
        <v>34</v>
      </c>
      <c r="F15" s="53">
        <f ca="1">ROUND(2*($F$14-$C$7)/$C$8,0)/2+$F$13</f>
        <v>32966.5</v>
      </c>
    </row>
    <row r="16" spans="1:19" x14ac:dyDescent="0.2">
      <c r="A16" s="15" t="s">
        <v>4</v>
      </c>
      <c r="B16" s="10"/>
      <c r="C16" s="16">
        <f ca="1">+C8+C12</f>
        <v>0.71988840816474475</v>
      </c>
      <c r="E16" s="51" t="s">
        <v>35</v>
      </c>
      <c r="F16" s="53">
        <f ca="1">ROUND(2*($F$14-$C$15)/$C$16,0)/2+$F$13</f>
        <v>4941.5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51" t="s">
        <v>50</v>
      </c>
      <c r="F17" s="54">
        <f ca="1">+$C$15+$C$16*$F$16-15018.5-$C$5/24</f>
        <v>45503.53196349358</v>
      </c>
    </row>
    <row r="18" spans="1:21" ht="14.25" thickTop="1" thickBot="1" x14ac:dyDescent="0.25">
      <c r="A18" s="15" t="s">
        <v>5</v>
      </c>
      <c r="B18" s="10"/>
      <c r="C18" s="18">
        <f ca="1">+C15</f>
        <v>56964.307561214155</v>
      </c>
      <c r="D18" s="19">
        <f ca="1">+C16</f>
        <v>0.71988840816474475</v>
      </c>
      <c r="E18" s="56" t="s">
        <v>51</v>
      </c>
      <c r="F18" s="55">
        <f ca="1">+($C$15+$C$16*$F$16)-($C$16/2)-15018.5-$C$5/24</f>
        <v>45503.172019289501</v>
      </c>
    </row>
    <row r="19" spans="1:21" ht="13.5" thickTop="1" x14ac:dyDescent="0.2">
      <c r="E19" s="14"/>
      <c r="F19" s="17"/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37</v>
      </c>
      <c r="J20" s="7" t="s">
        <v>38</v>
      </c>
      <c r="K20" s="7" t="s">
        <v>39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4" t="s">
        <v>32</v>
      </c>
    </row>
    <row r="21" spans="1:21" x14ac:dyDescent="0.2">
      <c r="A21" t="str">
        <f>$D$7</f>
        <v>VSX</v>
      </c>
      <c r="C21" s="8">
        <f>$C$7</f>
        <v>36789.445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-1.0077602813949073E-2</v>
      </c>
      <c r="Q21" s="2">
        <f>+C21-15018.5</f>
        <v>21770.945</v>
      </c>
    </row>
    <row r="22" spans="1:21" x14ac:dyDescent="0.2">
      <c r="A22" t="s">
        <v>46</v>
      </c>
      <c r="C22" s="8">
        <v>52500.233999999997</v>
      </c>
      <c r="D22" s="8" t="s">
        <v>13</v>
      </c>
      <c r="E22">
        <f>+(C22-C$7)/C$8</f>
        <v>21823.995743770538</v>
      </c>
      <c r="F22">
        <f>ROUND(2*E22,0)/2</f>
        <v>21824</v>
      </c>
      <c r="G22">
        <f>+C22-(C$7+F22*C$8)</f>
        <v>-3.0640000040875748E-3</v>
      </c>
      <c r="K22">
        <f>+G22</f>
        <v>-3.0640000040875748E-3</v>
      </c>
      <c r="O22">
        <f ca="1">+C$11+C$12*$F22</f>
        <v>4.2478184574212784E-2</v>
      </c>
      <c r="Q22" s="2">
        <f>+C22-15018.5</f>
        <v>37481.733999999997</v>
      </c>
    </row>
    <row r="23" spans="1:21" x14ac:dyDescent="0.2">
      <c r="A23" s="41" t="s">
        <v>48</v>
      </c>
      <c r="B23" s="42" t="s">
        <v>47</v>
      </c>
      <c r="C23" s="43">
        <v>56964.702969999998</v>
      </c>
      <c r="D23" s="43">
        <v>1E-4</v>
      </c>
      <c r="E23">
        <f>+(C23-C$7)/C$8</f>
        <v>28025.629016260904</v>
      </c>
      <c r="F23">
        <f>ROUND(2*E23,0)/2</f>
        <v>28025.5</v>
      </c>
      <c r="G23">
        <f>+C23-(C$7+F23*C$8)</f>
        <v>9.2877000002772547E-2</v>
      </c>
      <c r="K23">
        <f>+G23</f>
        <v>9.2877000002772547E-2</v>
      </c>
      <c r="O23">
        <f ca="1">+C$11+C$12*$F23</f>
        <v>5.7412418238421255E-2</v>
      </c>
      <c r="Q23" s="2">
        <f>+C23-15018.5</f>
        <v>41946.202969999998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W25">
    <sortCondition ref="C21:C25"/>
  </sortState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2024-07-29T08:21:02Z</dcterms:modified>
</cp:coreProperties>
</file>