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1F05E11-971A-4B38-8BDB-B9ADD0E0670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C21" i="1"/>
  <c r="R21" i="1" s="1"/>
  <c r="A21" i="1"/>
  <c r="G11" i="1"/>
  <c r="F11" i="1"/>
  <c r="E22" i="1"/>
  <c r="F22" i="1" s="1"/>
  <c r="G22" i="1" s="1"/>
  <c r="I22" i="1" s="1"/>
  <c r="E15" i="1"/>
  <c r="C17" i="1"/>
  <c r="Q22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<sst xmlns="http://schemas.openxmlformats.org/spreadsheetml/2006/main" count="46" uniqueCount="43">
  <si>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</si>
  <si>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</si>
  <si>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</si>
  <si>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</si>
  <si>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</si>
  <si>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</si>
  <si>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</si>
  <si>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</si>
  <si>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</si>
  <si>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</si>
  <si>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</si>
  <si>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</si>
  <si>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</si>
  <si>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</si>
  <si>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</si>
  <si>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</si>
  <si>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</si>
  <si>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</si>
  <si>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</si>
  <si>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</si>
  <si>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</si>
  <si>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</si>
  <si>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</si>
  <si>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</si>
  <si>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</si>
  <si>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</si>
  <si>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</si>
  <si>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</si>
  <si>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</si>
  <si>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</si>
  <si>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</si>
  <si>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</si>
  <si>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</si>
  <si>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</si>
  <si>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</si>
  <si>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</si>
  <si>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</si>
  <si>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</si>
  <si>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</si>
  <si>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PsA</t>
  </si>
  <si>
    <t>VSX</t>
  </si>
  <si>
    <t xml:space="preserve">AC PsA / GSC 7493-1749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</si>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</sst>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PsA  - O-C Diagr.</a:t>
            </a:r>
          </a:p>
        </c:rich>
      </c:tx>
      <c:layout>
        <c:manualLayout>
          <c:xMode val="edge"/>
          <c:yMode val="edge"/>
          <c:x val="0.3383458646616541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B0-4611-868B-4C43487BBB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-7.1999983629211783E-4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B0-4611-868B-4C43487BBB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B0-4611-868B-4C43487BBB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B0-4611-868B-4C43487BBB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B0-4611-868B-4C43487BBB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B0-4611-868B-4C43487BBB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B0-4611-868B-4C43487BBB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-7.1999983629211783E-4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B0-4611-868B-4C43487BB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683184"/>
        <c:axId val="1"/>
      </c:scatterChart>
      <c:valAx>
        <c:axId val="742683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54887218045112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683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E31DE6-87A2-236D-3032-D9545AD5D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2" t="s">
        <v>41</v>
      </c>
      <c r="D1" t="s">
        <v>39</v>
      </c>
    </row>
    <row r="2" spans="1:7" s="4" customFormat="1" ht="12.95" customHeight="1" x14ac:dyDescent="0.2">
      <c r="A2" s="4" t="s">
        <v>23</v>
      </c>
      <c r="B2" s="4" t="s">
        <v>36</v>
      </c>
      <c r="C2" s="5"/>
      <c r="D2" s="5"/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37</v>
      </c>
      <c r="C4" s="7">
        <v>52068.751000000164</v>
      </c>
      <c r="D4" s="8">
        <v>0.37196000000000001</v>
      </c>
    </row>
    <row r="5" spans="1:7" s="4" customFormat="1" ht="12.95" customHeight="1" x14ac:dyDescent="0.2"/>
    <row r="6" spans="1:7" s="4" customFormat="1" ht="12.95" customHeight="1" x14ac:dyDescent="0.2">
      <c r="A6" s="9" t="s">
        <v>0</v>
      </c>
    </row>
    <row r="7" spans="1:7" s="4" customFormat="1" ht="12.95" customHeight="1" x14ac:dyDescent="0.2">
      <c r="A7" s="4" t="s">
        <v>1</v>
      </c>
      <c r="C7" s="4">
        <v>51870.868999999999</v>
      </c>
      <c r="D7" s="4" t="s">
        <v>40</v>
      </c>
    </row>
    <row r="8" spans="1:7" s="4" customFormat="1" ht="12.95" customHeight="1" x14ac:dyDescent="0.2">
      <c r="A8" s="4" t="s">
        <v>2</v>
      </c>
      <c r="C8" s="4">
        <v>0.37196000000000001</v>
      </c>
      <c r="D8" s="4" t="s">
        <v>40</v>
      </c>
    </row>
    <row r="9" spans="1:7" s="4" customFormat="1" ht="12.95" customHeight="1" x14ac:dyDescent="0.2">
      <c r="A9" s="6" t="s">
        <v>29</v>
      </c>
      <c r="C9" s="10">
        <v>-9.5</v>
      </c>
      <c r="D9" s="4" t="s">
        <v>30</v>
      </c>
    </row>
    <row r="10" spans="1:7" s="4" customFormat="1" ht="12.95" customHeight="1" thickBot="1" x14ac:dyDescent="0.25">
      <c r="C10" s="11" t="s">
        <v>19</v>
      </c>
      <c r="D10" s="11" t="s">
        <v>20</v>
      </c>
    </row>
    <row r="11" spans="1:7" s="4" customFormat="1" ht="12.95" customHeight="1" x14ac:dyDescent="0.2">
      <c r="A11" s="4" t="s">
        <v>14</v>
      </c>
      <c r="C11" s="12">
        <f ca="1">INTERCEPT(INDIRECT($G$11):G992,INDIRECT($F$11):F992)</f>
        <v>0</v>
      </c>
      <c r="D11" s="5"/>
      <c r="F11" s="13" t="str">
        <f>"F"&amp;E19</f>
        <v>F21</v>
      </c>
      <c r="G11" s="12" t="str">
        <f>"G"&amp;E19</f>
        <v>G21</v>
      </c>
    </row>
    <row r="12" spans="1:7" s="4" customFormat="1" ht="12.95" customHeight="1" x14ac:dyDescent="0.2">
      <c r="A12" s="4" t="s">
        <v>15</v>
      </c>
      <c r="C12" s="12">
        <f ca="1">SLOPE(INDIRECT($G$11):G992,INDIRECT($F$11):F992)</f>
        <v>-1.3533831509250336E-6</v>
      </c>
      <c r="D12" s="5"/>
    </row>
    <row r="13" spans="1:7" s="4" customFormat="1" ht="12.95" customHeight="1" x14ac:dyDescent="0.2">
      <c r="A13" s="4" t="s">
        <v>18</v>
      </c>
      <c r="C13" s="5" t="s">
        <v>12</v>
      </c>
      <c r="D13" s="5"/>
    </row>
    <row r="14" spans="1:7" s="4" customFormat="1" ht="12.95" customHeight="1" x14ac:dyDescent="0.2"/>
    <row r="15" spans="1:7" s="4" customFormat="1" ht="12.95" customHeight="1" x14ac:dyDescent="0.2">
      <c r="A15" s="14" t="s">
        <v>16</v>
      </c>
      <c r="C15" s="15">
        <f ca="1">(C7+C11)+(C8+C12)*INT(MAX(F21:F3533))</f>
        <v>52068.751000000164</v>
      </c>
      <c r="D15" s="16" t="s">
        <v>31</v>
      </c>
      <c r="E15" s="17">
        <f ca="1">TODAY()+15018.5-B9/24</f>
        <v>60373.5</v>
      </c>
    </row>
    <row r="16" spans="1:7" s="4" customFormat="1" ht="12.95" customHeight="1" x14ac:dyDescent="0.2">
      <c r="A16" s="9" t="s">
        <v>3</v>
      </c>
      <c r="C16" s="18">
        <f ca="1">+C8+C12</f>
        <v>0.37195864661684908</v>
      </c>
      <c r="D16" s="16" t="s">
        <v>32</v>
      </c>
      <c r="E16" s="17">
        <f ca="1">ROUND(2*(E15-C15)/C16,0)/2+1</f>
        <v>22328</v>
      </c>
    </row>
    <row r="17" spans="1:18" s="4" customFormat="1" ht="12.95" customHeight="1" thickBot="1" x14ac:dyDescent="0.25">
      <c r="A17" s="16" t="s">
        <v>28</v>
      </c>
      <c r="C17" s="4">
        <f>COUNT(C21:C2191)</f>
        <v>2</v>
      </c>
      <c r="D17" s="16" t="s">
        <v>33</v>
      </c>
      <c r="E17" s="19">
        <f ca="1">+C15+C16*E16-15018.5-C9/24</f>
        <v>45355.739494994508</v>
      </c>
    </row>
    <row r="18" spans="1:18" s="4" customFormat="1" ht="12.95" customHeight="1" thickTop="1" thickBot="1" x14ac:dyDescent="0.25">
      <c r="A18" s="9" t="s">
        <v>4</v>
      </c>
      <c r="C18" s="20">
        <f ca="1">+C15</f>
        <v>52068.751000000164</v>
      </c>
      <c r="D18" s="21">
        <f ca="1">+C16</f>
        <v>0.37195864661684908</v>
      </c>
      <c r="E18" s="22" t="s">
        <v>34</v>
      </c>
    </row>
    <row r="19" spans="1:18" s="4" customFormat="1" ht="12.95" customHeight="1" thickTop="1" x14ac:dyDescent="0.2">
      <c r="A19" s="23" t="s">
        <v>35</v>
      </c>
      <c r="E19" s="24">
        <v>21</v>
      </c>
    </row>
    <row r="20" spans="1:18" s="4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5" t="s">
        <v>40</v>
      </c>
      <c r="I20" s="25" t="s">
        <v>42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1" t="s">
        <v>13</v>
      </c>
    </row>
    <row r="21" spans="1:18" s="4" customFormat="1" ht="12.95" customHeight="1" x14ac:dyDescent="0.2">
      <c r="A21" s="4" t="str">
        <f>$D$7</f>
        <v>VSX</v>
      </c>
      <c r="C21" s="27">
        <f>$C$7</f>
        <v>51870.868999999999</v>
      </c>
      <c r="D21" s="27"/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0</v>
      </c>
      <c r="Q21" s="28">
        <f>+C21-15018.5</f>
        <v>36852.368999999999</v>
      </c>
      <c r="R21" s="4" t="e">
        <f>IF(ABS(C21-C20)&lt;0.00001,1,"")</f>
        <v>#VALUE!</v>
      </c>
    </row>
    <row r="22" spans="1:18" s="4" customFormat="1" ht="12.95" customHeight="1" x14ac:dyDescent="0.2">
      <c r="A22" s="3" t="s">
        <v>38</v>
      </c>
      <c r="C22" s="27">
        <v>52068.751000000164</v>
      </c>
      <c r="D22" s="27" t="s">
        <v>12</v>
      </c>
      <c r="E22" s="4">
        <f>+(C22-C$7)/C$8</f>
        <v>531.9980643084341</v>
      </c>
      <c r="F22" s="4">
        <f>ROUND(2*E22,0)/2</f>
        <v>532</v>
      </c>
      <c r="G22" s="4">
        <f>+C22-(C$7+F22*C$8)</f>
        <v>-7.1999983629211783E-4</v>
      </c>
      <c r="I22" s="4">
        <f>+G22</f>
        <v>-7.1999983629211783E-4</v>
      </c>
      <c r="O22" s="4">
        <f ca="1">+C$11+C$12*$F22</f>
        <v>-7.1999983629211783E-4</v>
      </c>
      <c r="Q22" s="28">
        <f>+C22-15018.5</f>
        <v>37050.251000000164</v>
      </c>
    </row>
    <row r="23" spans="1:18" s="4" customFormat="1" ht="12.95" customHeight="1" x14ac:dyDescent="0.2">
      <c r="C23" s="27"/>
      <c r="D23" s="27"/>
      <c r="Q23" s="28"/>
    </row>
    <row r="24" spans="1:18" s="4" customFormat="1" ht="12.95" customHeight="1" x14ac:dyDescent="0.2">
      <c r="C24" s="27"/>
      <c r="D24" s="27"/>
      <c r="Q24" s="28"/>
    </row>
    <row r="25" spans="1:18" s="4" customFormat="1" ht="12.95" customHeight="1" x14ac:dyDescent="0.2">
      <c r="C25" s="27"/>
      <c r="D25" s="27"/>
      <c r="Q25" s="28"/>
    </row>
    <row r="26" spans="1:18" s="4" customFormat="1" ht="12.95" customHeight="1" x14ac:dyDescent="0.2">
      <c r="C26" s="27"/>
      <c r="D26" s="27"/>
      <c r="Q26" s="28"/>
    </row>
    <row r="27" spans="1:18" s="4" customFormat="1" ht="12.95" customHeight="1" x14ac:dyDescent="0.2">
      <c r="C27" s="27"/>
      <c r="D27" s="27"/>
      <c r="Q27" s="28"/>
    </row>
    <row r="28" spans="1:18" s="4" customFormat="1" ht="12.95" customHeight="1" x14ac:dyDescent="0.2">
      <c r="C28" s="27"/>
      <c r="D28" s="27"/>
      <c r="Q28" s="28"/>
    </row>
    <row r="29" spans="1:18" s="4" customFormat="1" ht="12.95" customHeight="1" x14ac:dyDescent="0.2">
      <c r="C29" s="27"/>
      <c r="D29" s="27"/>
      <c r="Q29" s="28"/>
    </row>
    <row r="30" spans="1:18" s="4" customFormat="1" ht="12.95" customHeight="1" x14ac:dyDescent="0.2">
      <c r="C30" s="27"/>
      <c r="D30" s="27"/>
      <c r="Q30" s="28"/>
    </row>
    <row r="31" spans="1:18" s="4" customFormat="1" ht="12.95" customHeight="1" x14ac:dyDescent="0.2">
      <c r="C31" s="27"/>
      <c r="D31" s="27"/>
      <c r="Q31" s="28"/>
    </row>
    <row r="32" spans="1:18" s="4" customFormat="1" ht="12.95" customHeight="1" x14ac:dyDescent="0.2">
      <c r="C32" s="27"/>
      <c r="D32" s="27"/>
      <c r="Q32" s="28"/>
    </row>
    <row r="33" spans="3:17" s="4" customFormat="1" ht="12.95" customHeight="1" x14ac:dyDescent="0.2">
      <c r="C33" s="27"/>
      <c r="D33" s="27"/>
      <c r="Q33" s="28"/>
    </row>
    <row r="34" spans="3:17" s="4" customFormat="1" ht="12.95" customHeight="1" x14ac:dyDescent="0.2">
      <c r="C34" s="27"/>
      <c r="D34" s="27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R28">
    <sortCondition ref="C21:C2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2024-03-04T03:55:26Z</dcterms:modified>
</cp:coreProperties>
</file>