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165DA99-9868-4F31-BA4A-915EAE69067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G11" i="1"/>
  <c r="E14" i="1"/>
  <c r="E15" i="1" s="1"/>
  <c r="C17" i="1"/>
  <c r="E21" i="1"/>
  <c r="F21" i="1"/>
  <c r="G21" i="1"/>
  <c r="H21" i="1"/>
  <c r="Q21" i="1"/>
  <c r="E22" i="1"/>
  <c r="F22" i="1"/>
  <c r="G22" i="1"/>
  <c r="I22" i="1"/>
  <c r="Q22" i="1"/>
  <c r="E23" i="1"/>
  <c r="F23" i="1"/>
  <c r="G23" i="1"/>
  <c r="I23" i="1"/>
  <c r="Q23" i="1"/>
  <c r="C11" i="1"/>
  <c r="C12" i="1"/>
  <c r="C16" i="1" l="1"/>
  <c r="D18" i="1" s="1"/>
  <c r="C15" i="1"/>
  <c r="O22" i="1"/>
  <c r="O23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<sst xmlns="http://schemas.openxmlformats.org/spreadsheetml/2006/main" count="52" uniqueCount="51">
  <si>
    <t>EY Psc / GSC 1182-0567</t>
  </si>
  <si>
    <t>EY Psc</t>
  </si>
  <si>
    <t>G1182-0567</t>
  </si>
  <si>
    <t>System Type:</t>
  </si>
  <si>
    <t>EA</t>
  </si>
  <si>
    <t>GCVS 4 Eph.</t>
  </si>
  <si>
    <t>--- Working ----</t>
  </si>
  <si>
    <t>Epoch =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</si>
  <si>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</si>
  <si>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</si>
  <si>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</si>
  <si>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</si>
  <si>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</si>
  <si>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</si>
  <si>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</si>
  <si>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</si>
  <si>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</si>
  <si>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</si>
  <si>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</si>
  <si>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</si>
  <si>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</si>
  <si>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</si>
  <si>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</si>
  <si>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</si>
  <si>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</si>
  <si>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</si>
  <si>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</si>
  <si>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</si>
  <si>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</si>
  <si>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</si>
  <si>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</si>
  <si>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</si>
  <si>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</si>
  <si>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</si>
  <si>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</si>
  <si>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GCVS</t>
  </si>
  <si>
    <t>S4</t>
  </si>
  <si>
    <t>S5</t>
  </si>
  <si>
    <t>S6</t>
  </si>
  <si>
    <t>Misc</t>
  </si>
  <si>
    <t>Lin Fit</t>
  </si>
  <si>
    <t>Q. Fit</t>
  </si>
  <si>
    <t>Date</t>
  </si>
  <si>
    <t>BAD</t>
  </si>
  <si>
    <t>OEJV 0091</t>
  </si>
  <si>
    <t>IBVS 6007</t>
  </si>
  <si>
    <t>I</t>
  </si>
  <si>
    <t>IBVS 6092</t>
  </si>
  <si>
    <t>Nelson Pers com</t>
  </si>
  <si>
    <t>CCD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</si>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</sst>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7" formatCode="dd/mm/yyyy"/>
  </numFmts>
  <fonts count="12" x14ac:knownFonts="1"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1" fillId="0" borderId="0" applyFill="0" applyBorder="0" applyProtection="0">
      <alignment vertical="top"/>
    </xf>
    <xf numFmtId="164" fontId="11" fillId="0" borderId="0" applyFill="0" applyBorder="0" applyProtection="0">
      <alignment vertical="top"/>
    </xf>
    <xf numFmtId="0" fontId="11" fillId="0" borderId="0" applyFill="0" applyBorder="0" applyProtection="0">
      <alignment vertical="top"/>
    </xf>
    <xf numFmtId="2" fontId="11" fillId="0" borderId="0" applyFill="0" applyBorder="0" applyProtection="0">
      <alignment vertical="top"/>
    </xf>
    <xf numFmtId="0" fontId="1" fillId="0" borderId="0" applyNumberFormat="0" applyFill="0" applyBorder="0" applyProtection="0">
      <alignment vertical="top"/>
    </xf>
    <xf numFmtId="0" fontId="2" fillId="0" borderId="0" applyNumberFormat="0" applyFill="0" applyBorder="0" applyProtection="0">
      <alignment vertical="top"/>
    </xf>
    <xf numFmtId="0" fontId="11" fillId="0" borderId="1" applyNumberFormat="0" applyFill="0" applyProtection="0">
      <alignment vertical="top"/>
    </xf>
  </cellStyleXfs>
  <cellXfs count="32">
    <xf numFmtId="0" fontId="0" fillId="0" borderId="0" xfId="0">
      <alignment vertical="top"/>
    </xf>
    <xf numFmtId="0" fontId="0" fillId="0" borderId="0" xfId="0" applyFill="1" applyAlignment="1"/>
    <xf numFmtId="0" fontId="3" fillId="0" borderId="0" xfId="0" applyFont="1" applyFill="1" applyAlignment="1"/>
    <xf numFmtId="0" fontId="4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167" fontId="0" fillId="0" borderId="0" xfId="0" applyNumberFormat="1" applyFill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EY Psc - O-C Diagr.</a:t>
            </a:r>
          </a:p>
        </c:rich>
      </c:tx>
      <c:layout>
        <c:manualLayout>
          <c:xMode val="edge"/>
          <c:yMode val="edge"/>
          <c:x val="0.38704850899661636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3630269107927"/>
          <c:y val="0.13813876868994979"/>
          <c:w val="0.82630585333459827"/>
          <c:h val="0.649651226029178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918</c:v>
                </c:pt>
                <c:pt idx="2">
                  <c:v>1152</c:v>
                </c:pt>
              </c:numCache>
            </c:numRef>
          </c:xVal>
          <c:yVal>
            <c:numRef>
              <c:f>Active!$H$21:$H$23</c:f>
              <c:numCache>
                <c:formatCode>General</c:formatCode>
                <c:ptCount val="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9C-47C0-87A9-BD972F4728A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918</c:v>
                </c:pt>
                <c:pt idx="2">
                  <c:v>1152</c:v>
                </c:pt>
              </c:numCache>
            </c:numRef>
          </c:xVal>
          <c:yVal>
            <c:numRef>
              <c:f>Active!$I$21:$I$23</c:f>
              <c:numCache>
                <c:formatCode>General</c:formatCode>
                <c:ptCount val="3"/>
                <c:pt idx="1">
                  <c:v>-1.6289999992295634E-2</c:v>
                </c:pt>
                <c:pt idx="2">
                  <c:v>-2.4899999996705446E-2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9C-47C0-87A9-BD972F4728A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918</c:v>
                </c:pt>
                <c:pt idx="2">
                  <c:v>1152</c:v>
                </c:pt>
              </c:numCache>
            </c:numRef>
          </c:xVal>
          <c:yVal>
            <c:numRef>
              <c:f>Active!$J$21:$J$23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9C-47C0-87A9-BD972F4728A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918</c:v>
                </c:pt>
                <c:pt idx="2">
                  <c:v>1152</c:v>
                </c:pt>
              </c:numCache>
            </c:numRef>
          </c:xVal>
          <c:yVal>
            <c:numRef>
              <c:f>Active!$K$21:$K$23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9C-47C0-87A9-BD972F4728A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918</c:v>
                </c:pt>
                <c:pt idx="2">
                  <c:v>1152</c:v>
                </c:pt>
              </c:numCache>
            </c:numRef>
          </c:xVal>
          <c:yVal>
            <c:numRef>
              <c:f>Active!$L$21:$L$23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9C-47C0-87A9-BD972F4728A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918</c:v>
                </c:pt>
                <c:pt idx="2">
                  <c:v>1152</c:v>
                </c:pt>
              </c:numCache>
            </c:numRef>
          </c:xVal>
          <c:yVal>
            <c:numRef>
              <c:f>Active!$M$21:$M$23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9C-47C0-87A9-BD972F4728A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918</c:v>
                </c:pt>
                <c:pt idx="2">
                  <c:v>1152</c:v>
                </c:pt>
              </c:numCache>
            </c:numRef>
          </c:xVal>
          <c:yVal>
            <c:numRef>
              <c:f>Active!$N$21:$N$23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9C-47C0-87A9-BD972F4728A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918</c:v>
                </c:pt>
                <c:pt idx="2">
                  <c:v>1152</c:v>
                </c:pt>
              </c:numCache>
            </c:numRef>
          </c:xVal>
          <c:yVal>
            <c:numRef>
              <c:f>Active!$O$21:$O$23</c:f>
              <c:numCache>
                <c:formatCode>General</c:formatCode>
                <c:ptCount val="3"/>
                <c:pt idx="0">
                  <c:v>1.7487692332696703E-2</c:v>
                </c:pt>
                <c:pt idx="1">
                  <c:v>-1.6289999992295634E-2</c:v>
                </c:pt>
                <c:pt idx="2">
                  <c:v>-2.4899999996705446E-2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9C-47C0-87A9-BD972F4728A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918</c:v>
                </c:pt>
                <c:pt idx="2">
                  <c:v>1152</c:v>
                </c:pt>
              </c:numCache>
            </c:numRef>
          </c:xVal>
          <c:yVal>
            <c:numRef>
              <c:f>Active!$R$21:$R$23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E9C-47C0-87A9-BD972F472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477672"/>
        <c:axId val="1"/>
      </c:scatterChart>
      <c:valAx>
        <c:axId val="672477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9670176770073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710843373493979E-2"/>
              <c:y val="0.42943069053305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4776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85543749802359"/>
          <c:y val="0.91591875339906836"/>
          <c:w val="0.85542231919805201"/>
          <c:h val="6.60663813419718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619125</xdr:colOff>
      <xdr:row>18</xdr:row>
      <xdr:rowOff>123825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C62D8E6-17B9-FF71-0A94-A3A130574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6.42578125" style="1" customWidth="1"/>
    <col min="6" max="6" width="9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0</v>
      </c>
      <c r="E1" s="3" t="s">
        <v>1</v>
      </c>
      <c r="F1" s="1" t="s">
        <v>2</v>
      </c>
    </row>
    <row r="2" spans="1:7" s="6" customFormat="1" ht="12.95" customHeight="1" x14ac:dyDescent="0.2">
      <c r="A2" s="6" t="s">
        <v>3</v>
      </c>
      <c r="B2" s="6" t="s">
        <v>4</v>
      </c>
      <c r="C2" s="7"/>
      <c r="D2" s="7"/>
      <c r="E2" s="6">
        <v>0</v>
      </c>
      <c r="F2" s="8"/>
    </row>
    <row r="3" spans="1:7" s="6" customFormat="1" ht="12.95" customHeight="1" x14ac:dyDescent="0.2">
      <c r="F3" s="8"/>
    </row>
    <row r="4" spans="1:7" s="6" customFormat="1" ht="12.95" customHeight="1" x14ac:dyDescent="0.2">
      <c r="A4" s="9" t="s">
        <v>5</v>
      </c>
      <c r="C4" s="10">
        <v>52964.610999999997</v>
      </c>
      <c r="D4" s="11">
        <v>3.1294499999999998</v>
      </c>
      <c r="F4" s="8"/>
    </row>
    <row r="5" spans="1:7" s="6" customFormat="1" ht="12.95" customHeight="1" x14ac:dyDescent="0.2">
      <c r="F5" s="8"/>
    </row>
    <row r="6" spans="1:7" s="6" customFormat="1" ht="12.95" customHeight="1" x14ac:dyDescent="0.2">
      <c r="A6" s="9" t="s">
        <v>6</v>
      </c>
      <c r="F6" s="8"/>
    </row>
    <row r="7" spans="1:7" s="6" customFormat="1" ht="12.95" customHeight="1" x14ac:dyDescent="0.2">
      <c r="A7" s="6" t="s">
        <v>7</v>
      </c>
      <c r="C7" s="6">
        <v>52964.610999999997</v>
      </c>
      <c r="F7" s="8"/>
    </row>
    <row r="8" spans="1:7" s="6" customFormat="1" ht="12.95" customHeight="1" x14ac:dyDescent="0.2">
      <c r="A8" s="6" t="s">
        <v>8</v>
      </c>
      <c r="C8" s="6">
        <v>3.1294499999999998</v>
      </c>
      <c r="F8" s="8"/>
    </row>
    <row r="9" spans="1:7" s="6" customFormat="1" ht="12.95" customHeight="1" x14ac:dyDescent="0.2">
      <c r="A9" s="12" t="s">
        <v>9</v>
      </c>
      <c r="B9" s="8"/>
      <c r="C9" s="13">
        <v>-9.5</v>
      </c>
      <c r="D9" s="8" t="s">
        <v>10</v>
      </c>
      <c r="E9" s="8"/>
      <c r="F9" s="8"/>
    </row>
    <row r="10" spans="1:7" s="6" customFormat="1" ht="12.95" customHeight="1" x14ac:dyDescent="0.2">
      <c r="A10" s="8"/>
      <c r="B10" s="8"/>
      <c r="C10" s="14" t="s">
        <v>11</v>
      </c>
      <c r="D10" s="14" t="s">
        <v>12</v>
      </c>
      <c r="E10" s="8"/>
      <c r="F10" s="8"/>
    </row>
    <row r="11" spans="1:7" s="6" customFormat="1" ht="12.95" customHeight="1" x14ac:dyDescent="0.2">
      <c r="A11" s="8" t="s">
        <v>13</v>
      </c>
      <c r="B11" s="8"/>
      <c r="C11" s="15">
        <f ca="1">INTERCEPT(INDIRECT($G$11):G992,INDIRECT($F$11):F992)</f>
        <v>1.7487692332696703E-2</v>
      </c>
      <c r="D11" s="16"/>
      <c r="E11" s="8"/>
      <c r="F11" s="17" t="str">
        <f>"F"&amp;E19</f>
        <v>F22</v>
      </c>
      <c r="G11" s="18" t="str">
        <f>"G"&amp;E19</f>
        <v>G22</v>
      </c>
    </row>
    <row r="12" spans="1:7" s="6" customFormat="1" ht="12.95" customHeight="1" x14ac:dyDescent="0.2">
      <c r="A12" s="8" t="s">
        <v>14</v>
      </c>
      <c r="B12" s="8"/>
      <c r="C12" s="15">
        <f ca="1">SLOPE(INDIRECT($G$11):G992,INDIRECT($F$11):F992)</f>
        <v>-3.6794871813717146E-5</v>
      </c>
      <c r="D12" s="16"/>
      <c r="E12" s="8"/>
      <c r="F12" s="8"/>
    </row>
    <row r="13" spans="1:7" s="6" customFormat="1" ht="12.95" customHeight="1" x14ac:dyDescent="0.2">
      <c r="A13" s="8" t="s">
        <v>15</v>
      </c>
      <c r="B13" s="8"/>
      <c r="C13" s="16" t="s">
        <v>16</v>
      </c>
      <c r="D13" s="3" t="s">
        <v>17</v>
      </c>
      <c r="E13" s="13">
        <v>1</v>
      </c>
      <c r="F13" s="8"/>
    </row>
    <row r="14" spans="1:7" s="6" customFormat="1" ht="12.95" customHeight="1" x14ac:dyDescent="0.2">
      <c r="A14" s="8"/>
      <c r="B14" s="8"/>
      <c r="C14" s="8"/>
      <c r="D14" s="3" t="s">
        <v>18</v>
      </c>
      <c r="E14" s="15">
        <f ca="1">NOW()+15018.5+$C$9/24</f>
        <v>60373.726885069445</v>
      </c>
      <c r="F14" s="8"/>
    </row>
    <row r="15" spans="1:7" s="6" customFormat="1" ht="12.95" customHeight="1" x14ac:dyDescent="0.2">
      <c r="A15" s="19" t="s">
        <v>19</v>
      </c>
      <c r="B15" s="8"/>
      <c r="C15" s="20">
        <f ca="1">(C7+C11)+(C8+C12)*INT(MAX(F21:F3533))</f>
        <v>56569.712500000001</v>
      </c>
      <c r="D15" s="3" t="s">
        <v>20</v>
      </c>
      <c r="E15" s="15">
        <f ca="1">ROUND(2*(E14-$C$7)/$C$8,0)/2+E13</f>
        <v>2368.5</v>
      </c>
      <c r="F15" s="8"/>
    </row>
    <row r="16" spans="1:7" s="6" customFormat="1" ht="12.95" customHeight="1" x14ac:dyDescent="0.2">
      <c r="A16" s="19" t="s">
        <v>21</v>
      </c>
      <c r="B16" s="8"/>
      <c r="C16" s="20">
        <f ca="1">+C8+C12</f>
        <v>3.129413205128186</v>
      </c>
      <c r="D16" s="3" t="s">
        <v>22</v>
      </c>
      <c r="E16" s="18">
        <f ca="1">ROUND(2*(E14-$C$15)/$C$16,0)/2+E13</f>
        <v>1216.5</v>
      </c>
      <c r="F16" s="8"/>
    </row>
    <row r="17" spans="1:23" s="6" customFormat="1" ht="12.95" customHeight="1" x14ac:dyDescent="0.2">
      <c r="A17" s="3" t="s">
        <v>23</v>
      </c>
      <c r="B17" s="8"/>
      <c r="C17" s="8">
        <f>COUNT(C21:C2191)</f>
        <v>3</v>
      </c>
      <c r="D17" s="3" t="s">
        <v>24</v>
      </c>
      <c r="E17" s="21">
        <f ca="1">+$C$15+$C$16*E16-15018.5-$C$9/24</f>
        <v>45358.539497371778</v>
      </c>
      <c r="F17" s="8"/>
    </row>
    <row r="18" spans="1:23" s="6" customFormat="1" ht="12.95" customHeight="1" x14ac:dyDescent="0.2">
      <c r="A18" s="19" t="s">
        <v>25</v>
      </c>
      <c r="B18" s="8"/>
      <c r="C18" s="22">
        <f ca="1">+C15</f>
        <v>56569.712500000001</v>
      </c>
      <c r="D18" s="23">
        <f ca="1">+C16</f>
        <v>3.129413205128186</v>
      </c>
      <c r="E18" s="24" t="s">
        <v>26</v>
      </c>
      <c r="F18" s="8"/>
    </row>
    <row r="19" spans="1:23" s="6" customFormat="1" ht="12.95" customHeight="1" x14ac:dyDescent="0.2">
      <c r="A19" s="25" t="s">
        <v>27</v>
      </c>
      <c r="E19" s="26">
        <v>22</v>
      </c>
      <c r="F19" s="8"/>
    </row>
    <row r="20" spans="1:23" s="6" customFormat="1" ht="12.95" customHeight="1" x14ac:dyDescent="0.2">
      <c r="A20" s="27" t="s">
        <v>28</v>
      </c>
      <c r="B20" s="27" t="s">
        <v>29</v>
      </c>
      <c r="C20" s="27" t="s">
        <v>30</v>
      </c>
      <c r="D20" s="27" t="s">
        <v>31</v>
      </c>
      <c r="E20" s="27" t="s">
        <v>32</v>
      </c>
      <c r="F20" s="27" t="s">
        <v>33</v>
      </c>
      <c r="G20" s="27" t="s">
        <v>34</v>
      </c>
      <c r="H20" s="28" t="s">
        <v>35</v>
      </c>
      <c r="I20" s="28" t="s">
        <v>49</v>
      </c>
      <c r="J20" s="28" t="s">
        <v>50</v>
      </c>
      <c r="K20" s="28" t="s">
        <v>36</v>
      </c>
      <c r="L20" s="28" t="s">
        <v>37</v>
      </c>
      <c r="M20" s="28" t="s">
        <v>38</v>
      </c>
      <c r="N20" s="28" t="s">
        <v>39</v>
      </c>
      <c r="O20" s="28" t="s">
        <v>40</v>
      </c>
      <c r="P20" s="28" t="s">
        <v>41</v>
      </c>
      <c r="Q20" s="27" t="s">
        <v>42</v>
      </c>
      <c r="R20" s="29" t="s">
        <v>43</v>
      </c>
    </row>
    <row r="21" spans="1:23" s="6" customFormat="1" ht="12.95" customHeight="1" x14ac:dyDescent="0.2">
      <c r="A21" s="6" t="s">
        <v>44</v>
      </c>
      <c r="C21" s="30">
        <v>52964.610999999997</v>
      </c>
      <c r="D21" s="30" t="s">
        <v>16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1.7487692332696703E-2</v>
      </c>
      <c r="Q21" s="31">
        <f>+C21-15018.5</f>
        <v>37946.110999999997</v>
      </c>
    </row>
    <row r="22" spans="1:23" s="6" customFormat="1" ht="12.95" customHeight="1" x14ac:dyDescent="0.2">
      <c r="A22" s="4" t="s">
        <v>45</v>
      </c>
      <c r="B22" s="5" t="s">
        <v>46</v>
      </c>
      <c r="C22" s="4">
        <v>55837.429810000001</v>
      </c>
      <c r="D22" s="4">
        <v>6.2E-4</v>
      </c>
      <c r="E22" s="6">
        <f>+(C22-C$7)/C$8</f>
        <v>917.99479461247324</v>
      </c>
      <c r="F22" s="6">
        <f>ROUND(2*E22,0)/2</f>
        <v>918</v>
      </c>
      <c r="G22" s="6">
        <f>+C22-(C$7+F22*C$8)</f>
        <v>-1.6289999992295634E-2</v>
      </c>
      <c r="I22" s="6">
        <f>+G22</f>
        <v>-1.6289999992295634E-2</v>
      </c>
      <c r="O22" s="6">
        <f ca="1">+C$11+C$12*$F22</f>
        <v>-1.6289999992295634E-2</v>
      </c>
      <c r="Q22" s="31">
        <f>+C22-15018.5</f>
        <v>40818.929810000001</v>
      </c>
    </row>
    <row r="23" spans="1:23" s="6" customFormat="1" ht="12.95" customHeight="1" x14ac:dyDescent="0.2">
      <c r="A23" s="9" t="s">
        <v>47</v>
      </c>
      <c r="C23" s="30">
        <v>56569.712500000001</v>
      </c>
      <c r="D23" s="30">
        <v>2.0000000000000001E-4</v>
      </c>
      <c r="E23" s="6">
        <f>+(C23-C$7)/C$8</f>
        <v>1151.9920433302991</v>
      </c>
      <c r="F23" s="6">
        <f>ROUND(2*E23,0)/2</f>
        <v>1152</v>
      </c>
      <c r="G23" s="6">
        <f>+C23-(C$7+F23*C$8)</f>
        <v>-2.4899999996705446E-2</v>
      </c>
      <c r="I23" s="6">
        <f>+G23</f>
        <v>-2.4899999996705446E-2</v>
      </c>
      <c r="O23" s="6">
        <f ca="1">+C$11+C$12*$F23</f>
        <v>-2.4899999996705446E-2</v>
      </c>
      <c r="Q23" s="31">
        <f>+C23-15018.5</f>
        <v>41551.212500000001</v>
      </c>
      <c r="W23" s="6" t="s">
        <v>48</v>
      </c>
    </row>
    <row r="24" spans="1:23" s="6" customFormat="1" ht="12.95" customHeight="1" x14ac:dyDescent="0.2">
      <c r="F24" s="8"/>
    </row>
    <row r="25" spans="1:23" s="6" customFormat="1" ht="12.95" customHeight="1" x14ac:dyDescent="0.2">
      <c r="F25" s="8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2024-03-04T04:26:42Z</dcterms:created>
  <dcterms:modified xsi:type="dcterms:W3CDTF">2024-03-04T04:26:42Z</dcterms:modified>
</cp:coreProperties>
</file>