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5D3099E-1926-42D5-B028-1D53B62C142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1" i="1" l="1"/>
  <c r="G11" i="1"/>
  <c r="E14" i="1"/>
  <c r="E15" i="1" s="1"/>
  <c r="A21" i="1"/>
  <c r="H20" i="1"/>
  <c r="C21" i="1"/>
  <c r="C17" i="1"/>
  <c r="E22" i="1"/>
  <c r="F22" i="1"/>
  <c r="G22" i="1"/>
  <c r="I22" i="1"/>
  <c r="Q22" i="1"/>
  <c r="Q21" i="1"/>
  <c r="E21" i="1"/>
  <c r="F21" i="1"/>
  <c r="G21" i="1"/>
  <c r="H21" i="1"/>
  <c r="C11" i="1"/>
  <c r="C12" i="1"/>
  <c r="C16" i="1" l="1"/>
  <c r="D18" i="1" s="1"/>
  <c r="O22" i="1"/>
  <c r="S22" i="1" s="1"/>
  <c r="C15" i="1"/>
  <c r="E16" i="1" s="1"/>
  <c r="O21" i="1"/>
  <c r="S21" i="1" s="1"/>
  <c r="S19" i="1" l="1"/>
  <c r="C18" i="1"/>
  <c r="E17" i="1"/>
</calcChain>
</file>

<file path=xl/sharedStrings.xml><?xml version="1.0" encoding="utf-8"?>
<sst xmlns="http://schemas.openxmlformats.org/spreadsheetml/2006/main" count="54" uniqueCount="51">
  <si>
    <t>G0577-0364_Psc.xls</t>
  </si>
  <si>
    <t>System Type:</t>
  </si>
  <si>
    <t>EA</t>
  </si>
  <si>
    <t>Constell:</t>
  </si>
  <si>
    <t>Psc</t>
  </si>
  <si>
    <t>G0577-0364</t>
  </si>
  <si>
    <t>GCVS 4 Eph.</t>
  </si>
  <si>
    <t>not avail.</t>
  </si>
  <si>
    <t>--- Working ----</t>
  </si>
  <si>
    <t>Epoch =</t>
  </si>
  <si>
    <t>VSX</t>
  </si>
  <si>
    <t>Period =</t>
  </si>
  <si>
    <t>My time zone &gt;&gt;&gt;&gt;&gt;</t>
  </si>
  <si>
    <t>(PST=8, PDT=MDT=7, MDT=CST=6, etc.)</t>
  </si>
  <si>
    <t>Linear</t>
  </si>
  <si>
    <t>Quadratic</t>
  </si>
  <si>
    <t>LS Intercept =</t>
  </si>
  <si>
    <t>LS Slope =</t>
  </si>
  <si>
    <t>LS Quadr term =</t>
  </si>
  <si>
    <t>na</t>
  </si>
  <si>
    <t>Add cycle</t>
  </si>
  <si>
    <t>JD today</t>
  </si>
  <si>
    <t>New epoch =</t>
  </si>
  <si>
    <t>Old Cycle</t>
  </si>
  <si>
    <t>New Period =</t>
  </si>
  <si>
    <t>New Cycle</t>
  </si>
  <si>
    <t># of data points:</t>
  </si>
  <si>
    <t>Next ToM</t>
  </si>
  <si>
    <t>New Ephemeris =</t>
  </si>
  <si>
    <t>Local time</t>
  </si>
  <si>
    <t>Start of linear fit &gt;&gt;&gt;&gt;&gt;&gt;&gt;&gt;&gt;&gt;&gt;&gt;&gt;&gt;&gt;&gt;&gt;&gt;&gt;&gt;&gt;</t>
  </si>
  <si>
    <t>Source</t>
  </si>
  <si>
    <t>Typ</t>
  </si>
  <si>
    <t>ToM</t>
  </si>
  <si>
    <t>error</t>
  </si>
  <si>
    <t>n'</t>
  </si>
  <si>
    <t>n</t>
  </si>
  <si>
    <t>O-C</t>
  </si>
  <si>
    <t>S3</t>
  </si>
  <si>
    <t>S4</t>
  </si>
  <si>
    <t>S5</t>
  </si>
  <si>
    <t>S6</t>
  </si>
  <si>
    <t>Misc</t>
  </si>
  <si>
    <t>Lin Fit</t>
  </si>
  <si>
    <t>Q. Fit</t>
  </si>
  <si>
    <t>Date</t>
  </si>
  <si>
    <t>BAD</t>
  </si>
  <si>
    <t>IBVS 5960</t>
  </si>
  <si>
    <t>I</t>
  </si>
  <si>
    <t>KY Psc / GSC 0577-0364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</si>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</sst>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$#,##0_);&quot;($&quot;#,##0\)"/>
    <numFmt numFmtId="165" formatCode="m/d/yyyy\ h:mm"/>
    <numFmt numFmtId="167" formatCode="dd/mm/yyyy"/>
  </numFmts>
  <fonts count="13" x14ac:knownFonts="1"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49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2" fillId="0" borderId="0" applyFill="0" applyBorder="0" applyProtection="0">
      <alignment vertical="top"/>
    </xf>
    <xf numFmtId="164" fontId="12" fillId="0" borderId="0" applyFill="0" applyBorder="0" applyProtection="0">
      <alignment vertical="top"/>
    </xf>
    <xf numFmtId="0" fontId="12" fillId="0" borderId="0" applyFill="0" applyBorder="0" applyProtection="0">
      <alignment vertical="top"/>
    </xf>
    <xf numFmtId="2" fontId="12" fillId="0" borderId="0" applyFill="0" applyBorder="0" applyProtection="0">
      <alignment vertical="top"/>
    </xf>
    <xf numFmtId="0" fontId="1" fillId="0" borderId="0" applyNumberFormat="0" applyFill="0" applyBorder="0" applyProtection="0">
      <alignment vertical="top"/>
    </xf>
    <xf numFmtId="0" fontId="2" fillId="0" borderId="0" applyNumberFormat="0" applyFill="0" applyBorder="0" applyProtection="0">
      <alignment vertical="top"/>
    </xf>
    <xf numFmtId="0" fontId="12" fillId="0" borderId="1" applyNumberFormat="0" applyFill="0" applyProtection="0">
      <alignment vertical="top"/>
    </xf>
  </cellStyleXfs>
  <cellXfs count="36">
    <xf numFmtId="0" fontId="0" fillId="0" borderId="0" xfId="0">
      <alignment vertical="top"/>
    </xf>
    <xf numFmtId="0" fontId="0" fillId="0" borderId="0" xfId="0" applyFill="1" applyAlignment="1"/>
    <xf numFmtId="0" fontId="3" fillId="0" borderId="0" xfId="0" applyFont="1" applyFill="1" applyAlignment="1"/>
    <xf numFmtId="0" fontId="5" fillId="2" borderId="0" xfId="0" applyFont="1" applyFill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165" fontId="9" fillId="0" borderId="0" xfId="0" applyNumberFormat="1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9" fillId="0" borderId="0" xfId="0" applyFont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0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67" fontId="0" fillId="0" borderId="0" xfId="0" applyNumberFormat="1" applyFill="1" applyAlignment="1">
      <alignment vertical="center"/>
    </xf>
    <xf numFmtId="0" fontId="0" fillId="0" borderId="0" xfId="0" applyFill="1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999933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69FF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KY Psc - O-C Diagr.</a:t>
            </a:r>
          </a:p>
        </c:rich>
      </c:tx>
      <c:layout>
        <c:manualLayout>
          <c:xMode val="edge"/>
          <c:yMode val="edge"/>
          <c:x val="0.34036176200866458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03228662682226"/>
          <c:y val="0.12612675667793774"/>
          <c:w val="0.82329380514182704"/>
          <c:h val="0.6576592340371868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Active!$F$21:$F$220</c:f>
              <c:numCache>
                <c:formatCode>General</c:formatCode>
                <c:ptCount val="200"/>
                <c:pt idx="0">
                  <c:v>0</c:v>
                </c:pt>
                <c:pt idx="1">
                  <c:v>902</c:v>
                </c:pt>
              </c:numCache>
            </c:numRef>
          </c:xVal>
          <c:yVal>
            <c:numRef>
              <c:f>Active!$H$21:$H$220</c:f>
              <c:numCache>
                <c:formatCode>General</c:formatCode>
                <c:ptCount val="200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7A1-4DAA-952C-9037FF429DD5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Active!$F$21:$F$220</c:f>
              <c:numCache>
                <c:formatCode>General</c:formatCode>
                <c:ptCount val="200"/>
                <c:pt idx="0">
                  <c:v>0</c:v>
                </c:pt>
                <c:pt idx="1">
                  <c:v>902</c:v>
                </c:pt>
              </c:numCache>
            </c:numRef>
          </c:xVal>
          <c:yVal>
            <c:numRef>
              <c:f>Active!$I$21:$I$220</c:f>
              <c:numCache>
                <c:formatCode>General</c:formatCode>
                <c:ptCount val="200"/>
                <c:pt idx="1">
                  <c:v>1.849999935075175E-3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7A1-4DAA-952C-9037FF429DD5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999933"/>
                </a:solidFill>
                <a:prstDash val="solid"/>
              </a:ln>
            </c:spPr>
          </c:marker>
          <c:xVal>
            <c:numRef>
              <c:f>Active!$F$21:$F$220</c:f>
              <c:numCache>
                <c:formatCode>General</c:formatCode>
                <c:ptCount val="200"/>
                <c:pt idx="0">
                  <c:v>0</c:v>
                </c:pt>
                <c:pt idx="1">
                  <c:v>902</c:v>
                </c:pt>
              </c:numCache>
            </c:numRef>
          </c:xVal>
          <c:yVal>
            <c:numRef>
              <c:f>Active!$J$21:$J$220</c:f>
              <c:numCache>
                <c:formatCode>General</c:formatCode>
                <c:ptCount val="2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7A1-4DAA-952C-9037FF429DD5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Active!$F$21:$F$220</c:f>
              <c:numCache>
                <c:formatCode>General</c:formatCode>
                <c:ptCount val="200"/>
                <c:pt idx="0">
                  <c:v>0</c:v>
                </c:pt>
                <c:pt idx="1">
                  <c:v>902</c:v>
                </c:pt>
              </c:numCache>
            </c:numRef>
          </c:xVal>
          <c:yVal>
            <c:numRef>
              <c:f>Active!$K$21:$K$220</c:f>
              <c:numCache>
                <c:formatCode>General</c:formatCode>
                <c:ptCount val="2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7A1-4DAA-952C-9037FF429DD5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Active!$F$21:$F$220</c:f>
              <c:numCache>
                <c:formatCode>General</c:formatCode>
                <c:ptCount val="200"/>
                <c:pt idx="0">
                  <c:v>0</c:v>
                </c:pt>
                <c:pt idx="1">
                  <c:v>902</c:v>
                </c:pt>
              </c:numCache>
            </c:numRef>
          </c:xVal>
          <c:yVal>
            <c:numRef>
              <c:f>Active!$L$21:$L$220</c:f>
              <c:numCache>
                <c:formatCode>General</c:formatCode>
                <c:ptCount val="2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7A1-4DAA-952C-9037FF429DD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Active!$F$21:$F$220</c:f>
              <c:numCache>
                <c:formatCode>General</c:formatCode>
                <c:ptCount val="200"/>
                <c:pt idx="0">
                  <c:v>0</c:v>
                </c:pt>
                <c:pt idx="1">
                  <c:v>902</c:v>
                </c:pt>
              </c:numCache>
            </c:numRef>
          </c:xVal>
          <c:yVal>
            <c:numRef>
              <c:f>Active!$M$21:$M$220</c:f>
              <c:numCache>
                <c:formatCode>General</c:formatCode>
                <c:ptCount val="2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7A1-4DAA-952C-9037FF429DD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Active!$F$21:$F$220</c:f>
              <c:numCache>
                <c:formatCode>General</c:formatCode>
                <c:ptCount val="200"/>
                <c:pt idx="0">
                  <c:v>0</c:v>
                </c:pt>
                <c:pt idx="1">
                  <c:v>902</c:v>
                </c:pt>
              </c:numCache>
            </c:numRef>
          </c:xVal>
          <c:yVal>
            <c:numRef>
              <c:f>Active!$N$21:$N$220</c:f>
              <c:numCache>
                <c:formatCode>General</c:formatCode>
                <c:ptCount val="2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7A1-4DAA-952C-9037FF429DD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Active!$F$21:$F$220</c:f>
              <c:numCache>
                <c:formatCode>General</c:formatCode>
                <c:ptCount val="200"/>
                <c:pt idx="0">
                  <c:v>0</c:v>
                </c:pt>
                <c:pt idx="1">
                  <c:v>902</c:v>
                </c:pt>
              </c:numCache>
            </c:numRef>
          </c:xVal>
          <c:yVal>
            <c:numRef>
              <c:f>Active!$O$21:$O$220</c:f>
              <c:numCache>
                <c:formatCode>General</c:formatCode>
                <c:ptCount val="200"/>
                <c:pt idx="0">
                  <c:v>0</c:v>
                </c:pt>
                <c:pt idx="1">
                  <c:v>1.849999935075175E-3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7A1-4DAA-952C-9037FF429DD5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Active!$F$21:$F$220</c:f>
              <c:numCache>
                <c:formatCode>General</c:formatCode>
                <c:ptCount val="200"/>
                <c:pt idx="0">
                  <c:v>0</c:v>
                </c:pt>
                <c:pt idx="1">
                  <c:v>902</c:v>
                </c:pt>
              </c:numCache>
            </c:numRef>
          </c:xVal>
          <c:yVal>
            <c:numRef>
              <c:f>Active!$R$21:$R$220</c:f>
              <c:numCache>
                <c:formatCode>General</c:formatCode>
                <c:ptCount val="20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7A1-4DAA-952C-9037FF429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301712"/>
        <c:axId val="1"/>
      </c:scatterChart>
      <c:valAx>
        <c:axId val="684301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6027258640863"/>
              <c:y val="0.864867387072111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710843373493979E-2"/>
              <c:y val="0.429430690533052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301712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072304967903108"/>
          <c:y val="0.91591875339906836"/>
          <c:w val="0.81325364449925686"/>
          <c:h val="6.606638134197184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9525</xdr:rowOff>
    </xdr:from>
    <xdr:to>
      <xdr:col>16</xdr:col>
      <xdr:colOff>190500</xdr:colOff>
      <xdr:row>19</xdr:row>
      <xdr:rowOff>9525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86E74DB-2867-D45B-D8B3-F30313F5B2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style="1" customWidth="1"/>
    <col min="2" max="2" width="4.85546875" style="1" customWidth="1"/>
    <col min="3" max="3" width="11.85546875" style="1" customWidth="1"/>
    <col min="4" max="4" width="9.42578125" style="1" customWidth="1"/>
    <col min="5" max="5" width="16.42578125" style="1" customWidth="1"/>
    <col min="6" max="6" width="9" customWidth="1"/>
    <col min="7" max="7" width="8.140625" style="1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7" ht="20.25" x14ac:dyDescent="0.3">
      <c r="A1" s="2" t="s">
        <v>49</v>
      </c>
      <c r="E1" s="1" t="s">
        <v>0</v>
      </c>
    </row>
    <row r="2" spans="1:7" s="6" customFormat="1" ht="12.95" customHeight="1" x14ac:dyDescent="0.2">
      <c r="A2" s="6" t="s">
        <v>1</v>
      </c>
      <c r="B2" s="6" t="s">
        <v>2</v>
      </c>
      <c r="C2" s="7" t="s">
        <v>3</v>
      </c>
      <c r="D2" s="8" t="s">
        <v>4</v>
      </c>
      <c r="E2" s="3" t="s">
        <v>5</v>
      </c>
      <c r="F2" s="6" t="e">
        <v>#N/A</v>
      </c>
    </row>
    <row r="3" spans="1:7" s="6" customFormat="1" ht="12.95" customHeight="1" x14ac:dyDescent="0.2">
      <c r="F3" s="9"/>
    </row>
    <row r="4" spans="1:7" s="6" customFormat="1" ht="12.95" customHeight="1" x14ac:dyDescent="0.2">
      <c r="A4" s="10" t="s">
        <v>6</v>
      </c>
      <c r="C4" s="11" t="s">
        <v>7</v>
      </c>
      <c r="D4" s="12" t="s">
        <v>7</v>
      </c>
      <c r="F4" s="9"/>
    </row>
    <row r="5" spans="1:7" s="6" customFormat="1" ht="12.95" customHeight="1" x14ac:dyDescent="0.2">
      <c r="F5" s="9"/>
    </row>
    <row r="6" spans="1:7" s="6" customFormat="1" ht="12.95" customHeight="1" x14ac:dyDescent="0.2">
      <c r="A6" s="10" t="s">
        <v>8</v>
      </c>
      <c r="F6" s="9"/>
    </row>
    <row r="7" spans="1:7" s="6" customFormat="1" ht="12.95" customHeight="1" x14ac:dyDescent="0.2">
      <c r="A7" s="6" t="s">
        <v>9</v>
      </c>
      <c r="C7" s="35">
        <v>54644.918000000063</v>
      </c>
      <c r="D7" s="14" t="s">
        <v>10</v>
      </c>
      <c r="F7" s="9"/>
    </row>
    <row r="8" spans="1:7" s="6" customFormat="1" ht="12.95" customHeight="1" x14ac:dyDescent="0.2">
      <c r="A8" s="6" t="s">
        <v>11</v>
      </c>
      <c r="C8" s="35">
        <v>0.94877500000000003</v>
      </c>
      <c r="D8" s="14" t="s">
        <v>10</v>
      </c>
      <c r="F8" s="9"/>
    </row>
    <row r="9" spans="1:7" s="6" customFormat="1" ht="12.95" customHeight="1" x14ac:dyDescent="0.2">
      <c r="A9" s="15" t="s">
        <v>12</v>
      </c>
      <c r="B9" s="9"/>
      <c r="C9" s="16">
        <v>-9.5</v>
      </c>
      <c r="D9" s="9" t="s">
        <v>13</v>
      </c>
      <c r="E9" s="9"/>
      <c r="F9" s="9"/>
    </row>
    <row r="10" spans="1:7" s="6" customFormat="1" ht="12.95" customHeight="1" x14ac:dyDescent="0.2">
      <c r="A10" s="9"/>
      <c r="B10" s="9"/>
      <c r="C10" s="17" t="s">
        <v>14</v>
      </c>
      <c r="D10" s="17" t="s">
        <v>15</v>
      </c>
      <c r="E10" s="9"/>
      <c r="F10" s="9"/>
    </row>
    <row r="11" spans="1:7" s="6" customFormat="1" ht="12.95" customHeight="1" x14ac:dyDescent="0.2">
      <c r="A11" s="9" t="s">
        <v>16</v>
      </c>
      <c r="B11" s="9"/>
      <c r="C11" s="18">
        <f ca="1">INTERCEPT(INDIRECT($G$11):G992,INDIRECT($F$11):F992)</f>
        <v>0</v>
      </c>
      <c r="D11" s="19"/>
      <c r="E11" s="9"/>
      <c r="F11" s="20" t="str">
        <f>"F"&amp;E19</f>
        <v>F21</v>
      </c>
      <c r="G11" s="21" t="str">
        <f>"G"&amp;E19</f>
        <v>G21</v>
      </c>
    </row>
    <row r="12" spans="1:7" s="6" customFormat="1" ht="12.95" customHeight="1" x14ac:dyDescent="0.2">
      <c r="A12" s="9" t="s">
        <v>17</v>
      </c>
      <c r="B12" s="9"/>
      <c r="C12" s="18">
        <f ca="1">SLOPE(INDIRECT($G$11):G992,INDIRECT($F$11):F992)</f>
        <v>2.0509977107263582E-6</v>
      </c>
      <c r="D12" s="19"/>
      <c r="E12" s="9"/>
      <c r="F12" s="9"/>
    </row>
    <row r="13" spans="1:7" s="6" customFormat="1" ht="12.95" customHeight="1" x14ac:dyDescent="0.2">
      <c r="A13" s="9" t="s">
        <v>18</v>
      </c>
      <c r="B13" s="9"/>
      <c r="C13" s="19" t="s">
        <v>19</v>
      </c>
      <c r="D13" s="22" t="s">
        <v>20</v>
      </c>
      <c r="E13" s="16">
        <v>1</v>
      </c>
      <c r="F13" s="9"/>
    </row>
    <row r="14" spans="1:7" s="6" customFormat="1" ht="12.95" customHeight="1" x14ac:dyDescent="0.2">
      <c r="A14" s="9"/>
      <c r="B14" s="9"/>
      <c r="C14" s="9"/>
      <c r="D14" s="22" t="s">
        <v>21</v>
      </c>
      <c r="E14" s="18">
        <f ca="1">NOW()+15018.5+$C$9/24</f>
        <v>60373.754232175925</v>
      </c>
      <c r="F14" s="9"/>
    </row>
    <row r="15" spans="1:7" s="6" customFormat="1" ht="12.95" customHeight="1" x14ac:dyDescent="0.2">
      <c r="A15" s="23" t="s">
        <v>22</v>
      </c>
      <c r="B15" s="9"/>
      <c r="C15" s="24">
        <f ca="1">(C7+C11)+(C8+C12)*INT(MAX(F21:F3533))</f>
        <v>55500.714899999999</v>
      </c>
      <c r="D15" s="22" t="s">
        <v>23</v>
      </c>
      <c r="E15" s="18">
        <f ca="1">ROUND(2*(E14-$C$7)/$C$8,0)/2+E13</f>
        <v>6039</v>
      </c>
      <c r="F15" s="9"/>
    </row>
    <row r="16" spans="1:7" s="6" customFormat="1" ht="12.95" customHeight="1" x14ac:dyDescent="0.2">
      <c r="A16" s="23" t="s">
        <v>24</v>
      </c>
      <c r="B16" s="9"/>
      <c r="C16" s="24">
        <f ca="1">+C8+C12</f>
        <v>0.94877705099771081</v>
      </c>
      <c r="D16" s="22" t="s">
        <v>25</v>
      </c>
      <c r="E16" s="21">
        <f ca="1">ROUND(2*(E14-$C$15)/$C$16,0)/2+E13</f>
        <v>5137</v>
      </c>
      <c r="F16" s="9"/>
    </row>
    <row r="17" spans="1:19" s="6" customFormat="1" ht="12.95" customHeight="1" x14ac:dyDescent="0.2">
      <c r="A17" s="22" t="s">
        <v>26</v>
      </c>
      <c r="B17" s="9"/>
      <c r="C17" s="9">
        <f>COUNT(C21:C2191)</f>
        <v>2</v>
      </c>
      <c r="D17" s="22" t="s">
        <v>27</v>
      </c>
      <c r="E17" s="25">
        <f ca="1">+$C$15+$C$16*E16-15018.5-$C$9/24</f>
        <v>45356.478444308574</v>
      </c>
      <c r="F17" s="9"/>
    </row>
    <row r="18" spans="1:19" s="6" customFormat="1" ht="12.95" customHeight="1" x14ac:dyDescent="0.2">
      <c r="A18" s="23" t="s">
        <v>28</v>
      </c>
      <c r="B18" s="9"/>
      <c r="C18" s="26">
        <f ca="1">+C15</f>
        <v>55500.714899999999</v>
      </c>
      <c r="D18" s="27">
        <f ca="1">+C16</f>
        <v>0.94877705099771081</v>
      </c>
      <c r="E18" s="28" t="s">
        <v>29</v>
      </c>
      <c r="F18" s="9"/>
    </row>
    <row r="19" spans="1:19" s="6" customFormat="1" ht="12.95" customHeight="1" x14ac:dyDescent="0.2">
      <c r="A19" s="29" t="s">
        <v>30</v>
      </c>
      <c r="E19" s="30">
        <v>21</v>
      </c>
      <c r="F19" s="9"/>
      <c r="S19" s="6">
        <f ca="1">SQRT(SUM(S21:S50)/(COUNT(S21:S50)-1))</f>
        <v>0</v>
      </c>
    </row>
    <row r="20" spans="1:19" s="6" customFormat="1" ht="12.95" customHeight="1" x14ac:dyDescent="0.2">
      <c r="A20" s="31" t="s">
        <v>31</v>
      </c>
      <c r="B20" s="31" t="s">
        <v>32</v>
      </c>
      <c r="C20" s="31" t="s">
        <v>33</v>
      </c>
      <c r="D20" s="31" t="s">
        <v>34</v>
      </c>
      <c r="E20" s="31" t="s">
        <v>35</v>
      </c>
      <c r="F20" s="31" t="s">
        <v>36</v>
      </c>
      <c r="G20" s="31" t="s">
        <v>37</v>
      </c>
      <c r="H20" s="32" t="str">
        <f>A21</f>
        <v>VSX</v>
      </c>
      <c r="I20" s="32" t="s">
        <v>50</v>
      </c>
      <c r="J20" s="32" t="s">
        <v>38</v>
      </c>
      <c r="K20" s="32" t="s">
        <v>39</v>
      </c>
      <c r="L20" s="32" t="s">
        <v>40</v>
      </c>
      <c r="M20" s="32" t="s">
        <v>41</v>
      </c>
      <c r="N20" s="32" t="s">
        <v>42</v>
      </c>
      <c r="O20" s="32" t="s">
        <v>43</v>
      </c>
      <c r="P20" s="32" t="s">
        <v>44</v>
      </c>
      <c r="Q20" s="31" t="s">
        <v>45</v>
      </c>
      <c r="R20" s="33" t="s">
        <v>46</v>
      </c>
    </row>
    <row r="21" spans="1:19" s="6" customFormat="1" ht="12.95" customHeight="1" x14ac:dyDescent="0.2">
      <c r="A21" s="6" t="str">
        <f>D7</f>
        <v>VSX</v>
      </c>
      <c r="C21" s="13">
        <f>C$7</f>
        <v>54644.918000000063</v>
      </c>
      <c r="D21" s="13" t="s">
        <v>19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0</v>
      </c>
      <c r="Q21" s="34">
        <f>+C21-15018.5</f>
        <v>39626.418000000063</v>
      </c>
      <c r="S21" s="6">
        <f ca="1">+(O21-G21)^2</f>
        <v>0</v>
      </c>
    </row>
    <row r="22" spans="1:19" s="6" customFormat="1" ht="12.95" customHeight="1" x14ac:dyDescent="0.2">
      <c r="A22" s="4" t="s">
        <v>47</v>
      </c>
      <c r="B22" s="5" t="s">
        <v>48</v>
      </c>
      <c r="C22" s="4">
        <v>55500.714899999999</v>
      </c>
      <c r="D22" s="4">
        <v>2.9999999999999997E-4</v>
      </c>
      <c r="E22" s="6">
        <f>+(C22-C$7)/C$8</f>
        <v>902.00194988267572</v>
      </c>
      <c r="F22" s="6">
        <f>ROUND(2*E22,0)/2</f>
        <v>902</v>
      </c>
      <c r="G22" s="6">
        <f>+C22-(C$7+F22*C$8)</f>
        <v>1.849999935075175E-3</v>
      </c>
      <c r="I22" s="6">
        <f>+G22</f>
        <v>1.849999935075175E-3</v>
      </c>
      <c r="O22" s="6">
        <f ca="1">+C$11+C$12*$F22</f>
        <v>1.849999935075175E-3</v>
      </c>
      <c r="Q22" s="34">
        <f>+C22-15018.5</f>
        <v>40482.214899999999</v>
      </c>
      <c r="S22" s="6">
        <f ca="1">+(O22-G22)^2</f>
        <v>0</v>
      </c>
    </row>
    <row r="23" spans="1:19" s="6" customFormat="1" ht="12.95" customHeight="1" x14ac:dyDescent="0.2">
      <c r="F23" s="9"/>
    </row>
    <row r="24" spans="1:19" s="6" customFormat="1" ht="12.95" customHeight="1" x14ac:dyDescent="0.2">
      <c r="F24" s="9"/>
    </row>
    <row r="25" spans="1:19" s="6" customFormat="1" ht="12.95" customHeight="1" x14ac:dyDescent="0.2">
      <c r="F25" s="9"/>
    </row>
    <row r="26" spans="1:19" s="6" customFormat="1" ht="12.95" customHeight="1" x14ac:dyDescent="0.2">
      <c r="F26" s="9"/>
    </row>
    <row r="27" spans="1:19" s="6" customFormat="1" ht="12.95" customHeight="1" x14ac:dyDescent="0.2">
      <c r="F27" s="9"/>
    </row>
    <row r="28" spans="1:19" s="6" customFormat="1" ht="12.95" customHeight="1" x14ac:dyDescent="0.2">
      <c r="F28" s="9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2024-03-04T05:06:05Z</dcterms:created>
  <dcterms:modified xsi:type="dcterms:W3CDTF">2024-03-04T05:06:05Z</dcterms:modified>
</cp:coreProperties>
</file>